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takeuchi\Gdrive\RC造WG\公開用データ\"/>
    </mc:Choice>
  </mc:AlternateContent>
  <xr:revisionPtr revIDLastSave="0" documentId="13_ncr:1_{2408AF05-82F4-4A35-B11A-48B4EB5122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全情報" sheetId="3" r:id="rId1"/>
    <sheet name="必要項目" sheetId="2" r:id="rId2"/>
  </sheets>
  <definedNames>
    <definedName name="_xlnm._FilterDatabase" localSheetId="0" hidden="1">全情報!$A$5:$BV$385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7" i="2" l="1"/>
  <c r="B6" i="2"/>
  <c r="B5" i="2"/>
  <c r="B4" i="2"/>
  <c r="B3" i="2"/>
  <c r="B2" i="2"/>
  <c r="B1" i="2"/>
  <c r="I6" i="3" l="1"/>
  <c r="I7" i="3"/>
  <c r="I8" i="3"/>
  <c r="I9" i="3"/>
  <c r="I10" i="3"/>
  <c r="I11" i="3"/>
  <c r="I12" i="3"/>
  <c r="I13" i="3"/>
  <c r="I14" i="3"/>
  <c r="I15" i="3"/>
  <c r="I16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AZ74" i="3" l="1"/>
  <c r="AZ75" i="3"/>
  <c r="AZ73" i="3"/>
  <c r="T34" i="3" l="1"/>
  <c r="T51" i="3"/>
  <c r="T52" i="3"/>
  <c r="T50" i="3"/>
  <c r="T49" i="3"/>
  <c r="T80" i="3"/>
  <c r="T82" i="3"/>
  <c r="T108" i="3"/>
  <c r="AB74" i="3" l="1"/>
  <c r="AB75" i="3"/>
  <c r="AB73" i="3"/>
  <c r="U34" i="3" l="1"/>
  <c r="BS57" i="3" l="1"/>
  <c r="BS58" i="3"/>
  <c r="BS56" i="3"/>
  <c r="BA57" i="3"/>
  <c r="BA58" i="3"/>
  <c r="BA56" i="3"/>
  <c r="AT57" i="3"/>
  <c r="AT58" i="3"/>
  <c r="AT56" i="3"/>
  <c r="AC57" i="3"/>
  <c r="AC58" i="3"/>
  <c r="AC56" i="3"/>
  <c r="V58" i="3"/>
  <c r="V57" i="3"/>
  <c r="V56" i="3"/>
  <c r="O57" i="3"/>
  <c r="O58" i="3"/>
  <c r="O56" i="3"/>
  <c r="J56" i="3"/>
  <c r="K56" i="3"/>
  <c r="J57" i="3"/>
  <c r="K57" i="3"/>
  <c r="J58" i="3"/>
  <c r="K58" i="3"/>
  <c r="BS55" i="3"/>
  <c r="BT55" i="3"/>
  <c r="BT54" i="3"/>
  <c r="BS54" i="3"/>
  <c r="AT55" i="3"/>
  <c r="AU55" i="3"/>
  <c r="AU54" i="3"/>
  <c r="AT54" i="3"/>
  <c r="W55" i="3"/>
  <c r="W54" i="3"/>
  <c r="V55" i="3"/>
  <c r="V54" i="3"/>
  <c r="O55" i="3"/>
  <c r="O54" i="3"/>
  <c r="J55" i="3"/>
  <c r="K55" i="3"/>
  <c r="J54" i="3"/>
  <c r="K54" i="3"/>
  <c r="BT40" i="3"/>
  <c r="BT39" i="3"/>
  <c r="BS40" i="3"/>
  <c r="BS39" i="3"/>
  <c r="BT35" i="3"/>
  <c r="BS35" i="3"/>
  <c r="AT36" i="3"/>
  <c r="AU36" i="3"/>
  <c r="AT37" i="3"/>
  <c r="AU37" i="3"/>
  <c r="AT38" i="3"/>
  <c r="AU38" i="3"/>
  <c r="AT39" i="3"/>
  <c r="AU39" i="3"/>
  <c r="AT40" i="3"/>
  <c r="AU40" i="3"/>
  <c r="AU35" i="3"/>
  <c r="AT35" i="3"/>
  <c r="AC40" i="3"/>
  <c r="AD40" i="3"/>
  <c r="AD39" i="3"/>
  <c r="AC39" i="3"/>
  <c r="AC36" i="3"/>
  <c r="AD36" i="3"/>
  <c r="AC37" i="3"/>
  <c r="AD37" i="3"/>
  <c r="AC38" i="3"/>
  <c r="AD38" i="3"/>
  <c r="AD35" i="3"/>
  <c r="AC35" i="3"/>
  <c r="W40" i="3"/>
  <c r="W39" i="3"/>
  <c r="W36" i="3"/>
  <c r="W37" i="3"/>
  <c r="W38" i="3"/>
  <c r="W35" i="3"/>
  <c r="V40" i="3"/>
  <c r="V39" i="3"/>
  <c r="V36" i="3"/>
  <c r="V37" i="3"/>
  <c r="V38" i="3"/>
  <c r="V35" i="3"/>
  <c r="O40" i="3"/>
  <c r="O39" i="3"/>
  <c r="O36" i="3"/>
  <c r="O37" i="3"/>
  <c r="O38" i="3"/>
  <c r="O35" i="3"/>
  <c r="K37" i="3"/>
  <c r="K38" i="3"/>
  <c r="K39" i="3"/>
  <c r="K40" i="3"/>
  <c r="K36" i="3"/>
  <c r="K35" i="3"/>
  <c r="J34" i="3"/>
  <c r="K34" i="3"/>
  <c r="BT34" i="3"/>
  <c r="BS34" i="3"/>
  <c r="BB34" i="3"/>
  <c r="BA34" i="3"/>
  <c r="AU34" i="3"/>
  <c r="AT34" i="3"/>
  <c r="AD34" i="3"/>
  <c r="AC34" i="3"/>
  <c r="W34" i="3"/>
  <c r="V34" i="3"/>
  <c r="O34" i="3"/>
  <c r="W50" i="3" l="1"/>
  <c r="W51" i="3"/>
  <c r="W52" i="3"/>
  <c r="W53" i="3"/>
  <c r="V51" i="3"/>
  <c r="V52" i="3"/>
  <c r="V50" i="3"/>
  <c r="V80" i="3"/>
  <c r="U52" i="3"/>
  <c r="U51" i="3"/>
  <c r="U50" i="3"/>
  <c r="U49" i="3"/>
  <c r="AC178" i="3" l="1"/>
  <c r="BB22" i="3" l="1"/>
  <c r="BB23" i="3"/>
  <c r="BB24" i="3"/>
  <c r="BB25" i="3"/>
  <c r="BB26" i="3"/>
  <c r="BB27" i="3"/>
  <c r="BB28" i="3"/>
  <c r="BB29" i="3"/>
  <c r="BB30" i="3"/>
  <c r="BB31" i="3"/>
  <c r="BB32" i="3"/>
  <c r="BB33" i="3"/>
  <c r="AS107" i="3" l="1"/>
  <c r="AS108" i="3" l="1"/>
  <c r="U108" i="3"/>
  <c r="AS86" i="3"/>
  <c r="AS81" i="3"/>
  <c r="AS82" i="3"/>
  <c r="AS79" i="3"/>
  <c r="AS80" i="3"/>
  <c r="AS78" i="3"/>
  <c r="AS77" i="3"/>
  <c r="U82" i="3"/>
  <c r="U80" i="3"/>
  <c r="J68" i="3" l="1"/>
  <c r="K68" i="3"/>
  <c r="J69" i="3"/>
  <c r="K69" i="3"/>
  <c r="I70" i="3"/>
  <c r="J70" i="3"/>
  <c r="K70" i="3"/>
  <c r="I71" i="3"/>
  <c r="J71" i="3"/>
  <c r="K71" i="3"/>
  <c r="I72" i="3"/>
  <c r="J72" i="3"/>
  <c r="K72" i="3"/>
  <c r="J67" i="3"/>
  <c r="K67" i="3"/>
  <c r="BS261" i="3" l="1"/>
  <c r="BS260" i="3"/>
  <c r="BS259" i="3"/>
  <c r="BT261" i="3"/>
  <c r="BT260" i="3"/>
  <c r="BT259" i="3"/>
  <c r="O241" i="3"/>
  <c r="O240" i="3"/>
  <c r="BT228" i="3"/>
  <c r="BT229" i="3"/>
  <c r="BT230" i="3"/>
  <c r="BT231" i="3"/>
  <c r="BT232" i="3"/>
  <c r="BT227" i="3"/>
  <c r="BB228" i="3"/>
  <c r="BB229" i="3"/>
  <c r="BB230" i="3"/>
  <c r="BB231" i="3"/>
  <c r="BB232" i="3"/>
  <c r="BB227" i="3"/>
  <c r="AD227" i="3"/>
  <c r="BT237" i="3"/>
  <c r="BT236" i="3"/>
  <c r="BS232" i="3"/>
  <c r="BS231" i="3"/>
  <c r="BS230" i="3"/>
  <c r="BS229" i="3"/>
  <c r="BS228" i="3"/>
  <c r="BS227" i="3"/>
  <c r="O224" i="3" l="1"/>
  <c r="BT220" i="3"/>
  <c r="BT219" i="3"/>
  <c r="BT218" i="3"/>
  <c r="BS209" i="3"/>
  <c r="BT209" i="3"/>
  <c r="BF206" i="3"/>
  <c r="BJ206" i="3"/>
  <c r="BJ205" i="3"/>
  <c r="BF205" i="3"/>
  <c r="BJ204" i="3"/>
  <c r="BF204" i="3"/>
  <c r="AH204" i="3"/>
  <c r="AL204" i="3"/>
  <c r="BS190" i="3"/>
  <c r="BS189" i="3"/>
  <c r="BS188" i="3"/>
  <c r="BS187" i="3"/>
  <c r="BS186" i="3"/>
  <c r="BS185" i="3"/>
  <c r="BS182" i="3"/>
  <c r="BS181" i="3"/>
  <c r="BS180" i="3"/>
  <c r="BS179" i="3"/>
  <c r="BS178" i="3"/>
  <c r="BS177" i="3"/>
  <c r="BS176" i="3"/>
  <c r="BS175" i="3"/>
  <c r="BS174" i="3"/>
  <c r="BS173" i="3"/>
  <c r="BS170" i="3"/>
  <c r="BS169" i="3"/>
  <c r="BS168" i="3"/>
  <c r="BS167" i="3"/>
  <c r="BS166" i="3"/>
  <c r="BS165" i="3"/>
  <c r="BS164" i="3"/>
  <c r="BS163" i="3"/>
  <c r="BS162" i="3"/>
  <c r="BS161" i="3"/>
  <c r="BS160" i="3"/>
  <c r="BS159" i="3"/>
  <c r="BS158" i="3"/>
  <c r="BS157" i="3"/>
  <c r="BS156" i="3"/>
  <c r="BS155" i="3"/>
  <c r="BS154" i="3"/>
  <c r="BS153" i="3"/>
  <c r="BS152" i="3"/>
  <c r="BS151" i="3"/>
  <c r="BS150" i="3"/>
  <c r="BS149" i="3"/>
  <c r="BS148" i="3"/>
  <c r="BT189" i="3"/>
  <c r="BT188" i="3"/>
  <c r="BT187" i="3"/>
  <c r="BT186" i="3"/>
  <c r="BT185" i="3"/>
  <c r="BT182" i="3"/>
  <c r="BT181" i="3"/>
  <c r="BT180" i="3"/>
  <c r="BT179" i="3"/>
  <c r="BT178" i="3"/>
  <c r="BT177" i="3"/>
  <c r="BT176" i="3"/>
  <c r="BT175" i="3"/>
  <c r="BT174" i="3"/>
  <c r="BT173" i="3"/>
  <c r="BT169" i="3"/>
  <c r="BT168" i="3"/>
  <c r="BT167" i="3"/>
  <c r="BT166" i="3"/>
  <c r="BT165" i="3"/>
  <c r="BT164" i="3"/>
  <c r="BT163" i="3"/>
  <c r="BT162" i="3"/>
  <c r="BT161" i="3"/>
  <c r="BT160" i="3"/>
  <c r="BT154" i="3"/>
  <c r="BT153" i="3"/>
  <c r="BT152" i="3"/>
  <c r="BT151" i="3"/>
  <c r="BT150" i="3"/>
  <c r="BT149" i="3"/>
  <c r="BT148" i="3"/>
  <c r="O147" i="3"/>
  <c r="BS127" i="3"/>
  <c r="BJ111" i="3"/>
  <c r="BJ110" i="3"/>
  <c r="BF111" i="3"/>
  <c r="BF110" i="3"/>
  <c r="AL111" i="3"/>
  <c r="AL110" i="3"/>
  <c r="AH111" i="3"/>
  <c r="AH110" i="3"/>
  <c r="BS111" i="3"/>
  <c r="BS110" i="3"/>
  <c r="AU108" i="3"/>
  <c r="AU107" i="3"/>
  <c r="AT108" i="3"/>
  <c r="AT107" i="3"/>
  <c r="W108" i="3"/>
  <c r="V108" i="3"/>
  <c r="BJ100" i="3" l="1"/>
  <c r="BJ101" i="3"/>
  <c r="BJ102" i="3"/>
  <c r="BJ103" i="3"/>
  <c r="BJ104" i="3"/>
  <c r="BJ99" i="3"/>
  <c r="BF100" i="3"/>
  <c r="BF101" i="3"/>
  <c r="BF102" i="3"/>
  <c r="BF103" i="3"/>
  <c r="BF104" i="3"/>
  <c r="BF99" i="3"/>
  <c r="BA90" i="3" l="1"/>
  <c r="BA91" i="3"/>
  <c r="BA92" i="3"/>
  <c r="BA89" i="3"/>
  <c r="BJ86" i="3"/>
  <c r="BF86" i="3"/>
  <c r="AU86" i="3"/>
  <c r="AT86" i="3"/>
  <c r="BJ85" i="3"/>
  <c r="BJ84" i="3"/>
  <c r="BJ83" i="3"/>
  <c r="BJ82" i="3"/>
  <c r="BF84" i="3"/>
  <c r="BF85" i="3"/>
  <c r="BF83" i="3"/>
  <c r="BF82" i="3"/>
  <c r="AU82" i="3"/>
  <c r="AT82" i="3"/>
  <c r="AL85" i="3"/>
  <c r="AL84" i="3"/>
  <c r="AL83" i="3"/>
  <c r="AL82" i="3"/>
  <c r="AH84" i="3"/>
  <c r="AH85" i="3"/>
  <c r="AH83" i="3"/>
  <c r="AH82" i="3"/>
  <c r="W82" i="3"/>
  <c r="V82" i="3"/>
  <c r="BT98" i="3"/>
  <c r="BS98" i="3"/>
  <c r="BS97" i="3"/>
  <c r="BS96" i="3"/>
  <c r="BS95" i="3"/>
  <c r="BS94" i="3"/>
  <c r="BS93" i="3"/>
  <c r="AU78" i="3"/>
  <c r="AU79" i="3"/>
  <c r="AU80" i="3"/>
  <c r="AU81" i="3"/>
  <c r="AU77" i="3"/>
  <c r="AT78" i="3"/>
  <c r="AT79" i="3"/>
  <c r="AT80" i="3"/>
  <c r="AT81" i="3"/>
  <c r="AT77" i="3"/>
  <c r="W80" i="3"/>
  <c r="BJ72" i="3"/>
  <c r="BF72" i="3"/>
  <c r="BF68" i="3"/>
  <c r="BJ68" i="3"/>
  <c r="BJ67" i="3"/>
  <c r="BF67" i="3"/>
  <c r="BS68" i="3"/>
  <c r="BT68" i="3"/>
  <c r="BS69" i="3"/>
  <c r="BT69" i="3"/>
  <c r="BS70" i="3"/>
  <c r="BT70" i="3"/>
  <c r="BS71" i="3"/>
  <c r="BT71" i="3"/>
  <c r="BS72" i="3"/>
  <c r="BT72" i="3"/>
  <c r="BT67" i="3"/>
  <c r="BS67" i="3"/>
  <c r="BF71" i="3"/>
  <c r="BJ71" i="3"/>
  <c r="BJ70" i="3"/>
  <c r="BF70" i="3"/>
  <c r="BJ69" i="3"/>
  <c r="BF69" i="3"/>
  <c r="AU70" i="3"/>
  <c r="AU71" i="3"/>
  <c r="AU72" i="3"/>
  <c r="AU69" i="3"/>
  <c r="AU68" i="3"/>
  <c r="AU67" i="3"/>
  <c r="AT70" i="3"/>
  <c r="AT71" i="3"/>
  <c r="AT72" i="3"/>
  <c r="AT69" i="3"/>
  <c r="AT68" i="3"/>
  <c r="AT67" i="3"/>
  <c r="AH71" i="3"/>
  <c r="AH69" i="3"/>
  <c r="AH67" i="3"/>
  <c r="W72" i="3"/>
  <c r="W71" i="3"/>
  <c r="W70" i="3"/>
  <c r="W69" i="3"/>
  <c r="W68" i="3"/>
  <c r="W67" i="3"/>
  <c r="V72" i="3"/>
  <c r="V71" i="3"/>
  <c r="V70" i="3"/>
  <c r="V69" i="3"/>
  <c r="V68" i="3"/>
  <c r="V67" i="3"/>
  <c r="O68" i="3"/>
  <c r="O69" i="3"/>
  <c r="O70" i="3"/>
  <c r="O71" i="3"/>
  <c r="O72" i="3"/>
  <c r="O67" i="3"/>
  <c r="BS63" i="3"/>
  <c r="BA61" i="3"/>
  <c r="BB61" i="3"/>
  <c r="BA62" i="3"/>
  <c r="BB62" i="3"/>
  <c r="BA63" i="3"/>
  <c r="BB63" i="3"/>
  <c r="BA64" i="3"/>
  <c r="BB64" i="3"/>
  <c r="BA65" i="3"/>
  <c r="BB65" i="3"/>
  <c r="BA66" i="3"/>
  <c r="BB66" i="3"/>
  <c r="BB60" i="3"/>
  <c r="BA60" i="3"/>
  <c r="AC61" i="3"/>
  <c r="AD61" i="3"/>
  <c r="AC62" i="3"/>
  <c r="AD62" i="3"/>
  <c r="AC63" i="3"/>
  <c r="AD63" i="3"/>
  <c r="AC64" i="3"/>
  <c r="AD64" i="3"/>
  <c r="AC65" i="3"/>
  <c r="AD65" i="3"/>
  <c r="AC66" i="3"/>
  <c r="AD66" i="3"/>
  <c r="AD60" i="3"/>
  <c r="AC60" i="3"/>
  <c r="BT42" i="3" l="1"/>
  <c r="BS53" i="3"/>
  <c r="BS52" i="3"/>
  <c r="BS51" i="3"/>
  <c r="BS50" i="3"/>
  <c r="BS49" i="3"/>
  <c r="BS48" i="3"/>
  <c r="BS47" i="3"/>
  <c r="BS46" i="3"/>
  <c r="BS45" i="3"/>
  <c r="BS44" i="3"/>
  <c r="BS43" i="3"/>
  <c r="BS42" i="3"/>
  <c r="BS41" i="3"/>
  <c r="BT53" i="3"/>
  <c r="BT52" i="3"/>
  <c r="BT51" i="3"/>
  <c r="BT50" i="3"/>
  <c r="BT49" i="3"/>
  <c r="BT48" i="3"/>
  <c r="BT44" i="3"/>
  <c r="BT43" i="3"/>
  <c r="BT41" i="3"/>
  <c r="AJ32" i="3"/>
  <c r="AJ33" i="3"/>
  <c r="AJ31" i="3"/>
  <c r="AC14" i="3"/>
  <c r="AD14" i="3"/>
  <c r="AC15" i="3"/>
  <c r="AD15" i="3"/>
  <c r="AC16" i="3"/>
  <c r="AD16" i="3"/>
  <c r="BA14" i="3"/>
  <c r="BB14" i="3"/>
  <c r="BA15" i="3"/>
  <c r="BB15" i="3"/>
  <c r="BA16" i="3"/>
  <c r="BB16" i="3"/>
  <c r="BB21" i="3" l="1"/>
  <c r="BJ32" i="3"/>
  <c r="BJ33" i="3"/>
  <c r="BJ31" i="3"/>
  <c r="BH32" i="3"/>
  <c r="BH33" i="3"/>
  <c r="BH31" i="3"/>
  <c r="BF32" i="3"/>
  <c r="BF33" i="3"/>
  <c r="BF31" i="3"/>
  <c r="BD32" i="3"/>
  <c r="BD33" i="3"/>
  <c r="BD31" i="3"/>
  <c r="AH32" i="3"/>
  <c r="AH33" i="3"/>
  <c r="AH31" i="3"/>
  <c r="AF32" i="3"/>
  <c r="AF33" i="3"/>
  <c r="AF31" i="3"/>
  <c r="BR33" i="3"/>
  <c r="BJ23" i="3"/>
  <c r="BJ24" i="3"/>
  <c r="BJ25" i="3"/>
  <c r="BJ22" i="3"/>
  <c r="BJ27" i="3"/>
  <c r="BF23" i="3"/>
  <c r="BF24" i="3"/>
  <c r="BF25" i="3"/>
  <c r="BF27" i="3"/>
  <c r="BF22" i="3"/>
  <c r="BH23" i="3"/>
  <c r="BH24" i="3"/>
  <c r="BH25" i="3"/>
  <c r="BH26" i="3"/>
  <c r="BH27" i="3"/>
  <c r="BH22" i="3"/>
  <c r="AJ27" i="3"/>
  <c r="AJ23" i="3"/>
  <c r="AJ24" i="3"/>
  <c r="AJ25" i="3"/>
  <c r="AJ26" i="3"/>
  <c r="AJ22" i="3"/>
  <c r="AH23" i="3"/>
  <c r="AH24" i="3"/>
  <c r="AH25" i="3"/>
  <c r="AH26" i="3"/>
  <c r="AH22" i="3"/>
  <c r="AF23" i="3"/>
  <c r="AF24" i="3"/>
  <c r="AF25" i="3"/>
  <c r="AF26" i="3"/>
  <c r="AF27" i="3"/>
  <c r="AJ15" i="3"/>
  <c r="AJ16" i="3"/>
  <c r="AJ14" i="3"/>
  <c r="AF15" i="3"/>
  <c r="AF16" i="3"/>
  <c r="AF14" i="3"/>
  <c r="BH15" i="3"/>
  <c r="BH16" i="3"/>
  <c r="BH14" i="3"/>
  <c r="BD15" i="3"/>
  <c r="BD16" i="3"/>
  <c r="BD14" i="3"/>
  <c r="BA7" i="3"/>
  <c r="BB7" i="3"/>
  <c r="BA8" i="3"/>
  <c r="BB8" i="3"/>
  <c r="BA9" i="3"/>
  <c r="BB9" i="3"/>
  <c r="BA10" i="3"/>
  <c r="BB10" i="3"/>
  <c r="BA11" i="3"/>
  <c r="BB11" i="3"/>
  <c r="BA12" i="3"/>
  <c r="BB12" i="3"/>
  <c r="BA13" i="3"/>
  <c r="BB13" i="3"/>
  <c r="BB6" i="3"/>
  <c r="BA6" i="3"/>
  <c r="BS7" i="3"/>
  <c r="BT7" i="3"/>
  <c r="BS8" i="3"/>
  <c r="BT8" i="3"/>
  <c r="BS9" i="3"/>
  <c r="BT9" i="3"/>
  <c r="BS10" i="3"/>
  <c r="BT10" i="3"/>
  <c r="BS11" i="3"/>
  <c r="BT11" i="3"/>
  <c r="BS12" i="3"/>
  <c r="BT12" i="3"/>
  <c r="BS13" i="3"/>
  <c r="BT13" i="3"/>
  <c r="BT6" i="3"/>
  <c r="BS6" i="3"/>
  <c r="AD7" i="3"/>
  <c r="AD8" i="3"/>
  <c r="AD9" i="3"/>
  <c r="AD10" i="3"/>
  <c r="AD11" i="3"/>
  <c r="AD12" i="3"/>
  <c r="AD13" i="3"/>
  <c r="AD6" i="3"/>
  <c r="AC7" i="3"/>
  <c r="AC8" i="3"/>
  <c r="AC9" i="3"/>
  <c r="AC10" i="3"/>
  <c r="AC11" i="3"/>
  <c r="AC12" i="3"/>
  <c r="AC13" i="3"/>
  <c r="AC6" i="3"/>
  <c r="BD23" i="3" l="1"/>
  <c r="BD24" i="3"/>
  <c r="BD25" i="3"/>
  <c r="BD26" i="3"/>
  <c r="BD27" i="3"/>
  <c r="BD22" i="3"/>
  <c r="AF22" i="3"/>
  <c r="O27" i="3"/>
  <c r="K274" i="3" l="1"/>
  <c r="BS147" i="3" l="1"/>
  <c r="BA147" i="3"/>
  <c r="AT147" i="3"/>
  <c r="AC147" i="3"/>
  <c r="V147" i="3"/>
  <c r="J147" i="3"/>
  <c r="K147" i="3"/>
  <c r="I147" i="3"/>
  <c r="BS137" i="3"/>
  <c r="BS136" i="3"/>
  <c r="BA137" i="3"/>
  <c r="BA136" i="3"/>
  <c r="AT137" i="3"/>
  <c r="AT136" i="3"/>
  <c r="AC137" i="3"/>
  <c r="AC136" i="3"/>
  <c r="V137" i="3"/>
  <c r="V136" i="3"/>
  <c r="O137" i="3"/>
  <c r="O136" i="3"/>
  <c r="J136" i="3"/>
  <c r="K136" i="3"/>
  <c r="J137" i="3"/>
  <c r="K137" i="3"/>
  <c r="I137" i="3"/>
  <c r="I136" i="3"/>
  <c r="BA111" i="3" l="1"/>
  <c r="BA110" i="3"/>
  <c r="AT111" i="3"/>
  <c r="AT110" i="3"/>
  <c r="AC111" i="3"/>
  <c r="AC110" i="3"/>
  <c r="V111" i="3"/>
  <c r="V110" i="3"/>
  <c r="I111" i="3"/>
  <c r="J111" i="3"/>
  <c r="O111" i="3" s="1"/>
  <c r="K111" i="3"/>
  <c r="J110" i="3"/>
  <c r="O110" i="3" s="1"/>
  <c r="K110" i="3"/>
  <c r="I110" i="3"/>
  <c r="BS109" i="3"/>
  <c r="BA109" i="3"/>
  <c r="AT109" i="3"/>
  <c r="AC109" i="3"/>
  <c r="V109" i="3"/>
  <c r="O109" i="3"/>
  <c r="J109" i="3"/>
  <c r="K109" i="3"/>
  <c r="I109" i="3"/>
  <c r="O108" i="3" l="1"/>
  <c r="O107" i="3"/>
  <c r="W107" i="3"/>
  <c r="V107" i="3"/>
  <c r="I108" i="3"/>
  <c r="J108" i="3"/>
  <c r="K108" i="3"/>
  <c r="K107" i="3"/>
  <c r="J107" i="3"/>
  <c r="I107" i="3"/>
  <c r="BS106" i="3"/>
  <c r="BS105" i="3"/>
  <c r="BA106" i="3"/>
  <c r="BA105" i="3"/>
  <c r="AT106" i="3"/>
  <c r="AT105" i="3"/>
  <c r="AC106" i="3"/>
  <c r="AC105" i="3"/>
  <c r="V106" i="3"/>
  <c r="V105" i="3"/>
  <c r="O106" i="3"/>
  <c r="O105" i="3"/>
  <c r="I106" i="3"/>
  <c r="J106" i="3"/>
  <c r="K106" i="3"/>
  <c r="J105" i="3"/>
  <c r="K105" i="3"/>
  <c r="I105" i="3"/>
  <c r="BS100" i="3"/>
  <c r="BT100" i="3"/>
  <c r="BS101" i="3"/>
  <c r="BT101" i="3"/>
  <c r="BS102" i="3"/>
  <c r="BT102" i="3"/>
  <c r="BS103" i="3"/>
  <c r="BT103" i="3"/>
  <c r="BS104" i="3"/>
  <c r="BT104" i="3"/>
  <c r="BT99" i="3"/>
  <c r="BS99" i="3"/>
  <c r="BA100" i="3"/>
  <c r="BB100" i="3"/>
  <c r="BA101" i="3"/>
  <c r="BB101" i="3"/>
  <c r="BA102" i="3"/>
  <c r="BB102" i="3"/>
  <c r="BA103" i="3"/>
  <c r="BB103" i="3"/>
  <c r="BA104" i="3"/>
  <c r="BB104" i="3"/>
  <c r="BB99" i="3"/>
  <c r="BA99" i="3"/>
  <c r="AT100" i="3"/>
  <c r="AU100" i="3"/>
  <c r="AT101" i="3"/>
  <c r="AU101" i="3"/>
  <c r="AT102" i="3"/>
  <c r="AU102" i="3"/>
  <c r="AT103" i="3"/>
  <c r="AU103" i="3"/>
  <c r="AT104" i="3"/>
  <c r="AU104" i="3"/>
  <c r="AU99" i="3"/>
  <c r="AT99" i="3"/>
  <c r="AC100" i="3"/>
  <c r="AD100" i="3"/>
  <c r="AC101" i="3"/>
  <c r="AD101" i="3"/>
  <c r="AC102" i="3"/>
  <c r="AD102" i="3"/>
  <c r="AC103" i="3"/>
  <c r="AD103" i="3"/>
  <c r="AC104" i="3"/>
  <c r="AD104" i="3"/>
  <c r="AD99" i="3"/>
  <c r="AC99" i="3"/>
  <c r="V100" i="3"/>
  <c r="W100" i="3"/>
  <c r="V101" i="3"/>
  <c r="W101" i="3"/>
  <c r="V102" i="3"/>
  <c r="W102" i="3"/>
  <c r="V103" i="3"/>
  <c r="W103" i="3"/>
  <c r="V104" i="3"/>
  <c r="W104" i="3"/>
  <c r="W99" i="3"/>
  <c r="V99" i="3"/>
  <c r="O100" i="3"/>
  <c r="O101" i="3"/>
  <c r="O102" i="3"/>
  <c r="O103" i="3"/>
  <c r="O104" i="3"/>
  <c r="O99" i="3"/>
  <c r="J99" i="3"/>
  <c r="K99" i="3"/>
  <c r="J100" i="3"/>
  <c r="K100" i="3"/>
  <c r="J101" i="3"/>
  <c r="K101" i="3"/>
  <c r="J102" i="3"/>
  <c r="K102" i="3"/>
  <c r="J103" i="3"/>
  <c r="K103" i="3"/>
  <c r="J104" i="3"/>
  <c r="K104" i="3"/>
  <c r="I104" i="3"/>
  <c r="I103" i="3"/>
  <c r="I102" i="3"/>
  <c r="I101" i="3"/>
  <c r="I100" i="3"/>
  <c r="I99" i="3"/>
  <c r="BS90" i="3" l="1"/>
  <c r="BS91" i="3"/>
  <c r="BS92" i="3"/>
  <c r="BS89" i="3"/>
  <c r="AT91" i="3"/>
  <c r="AT90" i="3"/>
  <c r="AT92" i="3"/>
  <c r="AT89" i="3"/>
  <c r="V90" i="3"/>
  <c r="V91" i="3"/>
  <c r="V92" i="3"/>
  <c r="V89" i="3"/>
  <c r="O92" i="3"/>
  <c r="O91" i="3"/>
  <c r="O90" i="3"/>
  <c r="O89" i="3"/>
  <c r="I90" i="3"/>
  <c r="J90" i="3"/>
  <c r="K90" i="3"/>
  <c r="I91" i="3"/>
  <c r="J91" i="3"/>
  <c r="K91" i="3"/>
  <c r="I92" i="3"/>
  <c r="J92" i="3"/>
  <c r="K92" i="3"/>
  <c r="J89" i="3"/>
  <c r="K89" i="3"/>
  <c r="I89" i="3"/>
  <c r="BS87" i="3"/>
  <c r="BT87" i="3"/>
  <c r="BS88" i="3"/>
  <c r="BT88" i="3"/>
  <c r="BT86" i="3"/>
  <c r="BS86" i="3"/>
  <c r="BA87" i="3"/>
  <c r="BB87" i="3"/>
  <c r="BA88" i="3"/>
  <c r="BB88" i="3"/>
  <c r="BB86" i="3"/>
  <c r="BA86" i="3"/>
  <c r="AT88" i="3"/>
  <c r="AU88" i="3"/>
  <c r="AU87" i="3"/>
  <c r="AT87" i="3"/>
  <c r="AC87" i="3"/>
  <c r="AD87" i="3"/>
  <c r="AC88" i="3"/>
  <c r="AD88" i="3"/>
  <c r="AD86" i="3"/>
  <c r="AC86" i="3"/>
  <c r="V87" i="3"/>
  <c r="W87" i="3"/>
  <c r="V88" i="3"/>
  <c r="W88" i="3"/>
  <c r="W86" i="3"/>
  <c r="V86" i="3"/>
  <c r="O87" i="3"/>
  <c r="O88" i="3"/>
  <c r="O86" i="3"/>
  <c r="I87" i="3"/>
  <c r="J87" i="3"/>
  <c r="K87" i="3"/>
  <c r="I88" i="3"/>
  <c r="J88" i="3"/>
  <c r="K88" i="3"/>
  <c r="J86" i="3"/>
  <c r="K86" i="3"/>
  <c r="I86" i="3"/>
  <c r="BS83" i="3"/>
  <c r="BT83" i="3"/>
  <c r="BS84" i="3"/>
  <c r="BT84" i="3"/>
  <c r="BS85" i="3"/>
  <c r="BT85" i="3"/>
  <c r="BT82" i="3"/>
  <c r="BS82" i="3"/>
  <c r="BA83" i="3"/>
  <c r="BB83" i="3"/>
  <c r="BA84" i="3"/>
  <c r="BB84" i="3"/>
  <c r="BA85" i="3"/>
  <c r="BB85" i="3"/>
  <c r="BB82" i="3"/>
  <c r="BA82" i="3"/>
  <c r="AT84" i="3"/>
  <c r="AU84" i="3"/>
  <c r="AT85" i="3"/>
  <c r="AU85" i="3"/>
  <c r="AD83" i="3"/>
  <c r="AD84" i="3"/>
  <c r="AD85" i="3"/>
  <c r="AD82" i="3"/>
  <c r="W84" i="3"/>
  <c r="W85" i="3"/>
  <c r="W83" i="3"/>
  <c r="AU83" i="3"/>
  <c r="AT83" i="3"/>
  <c r="AC83" i="3"/>
  <c r="AC84" i="3"/>
  <c r="AC85" i="3"/>
  <c r="AC82" i="3"/>
  <c r="V84" i="3"/>
  <c r="V85" i="3"/>
  <c r="V83" i="3"/>
  <c r="O84" i="3"/>
  <c r="O85" i="3"/>
  <c r="O83" i="3"/>
  <c r="O82" i="3"/>
  <c r="J83" i="3"/>
  <c r="K83" i="3"/>
  <c r="J84" i="3"/>
  <c r="K84" i="3"/>
  <c r="J85" i="3"/>
  <c r="K85" i="3"/>
  <c r="I85" i="3"/>
  <c r="I84" i="3"/>
  <c r="I83" i="3"/>
  <c r="J82" i="3"/>
  <c r="K82" i="3"/>
  <c r="I82" i="3"/>
  <c r="BS78" i="3" l="1"/>
  <c r="BT78" i="3"/>
  <c r="BS79" i="3"/>
  <c r="BT79" i="3"/>
  <c r="BS80" i="3"/>
  <c r="BT80" i="3"/>
  <c r="BS81" i="3"/>
  <c r="BT81" i="3"/>
  <c r="BT77" i="3"/>
  <c r="BS77" i="3"/>
  <c r="BA78" i="3"/>
  <c r="BB78" i="3"/>
  <c r="BA79" i="3"/>
  <c r="BB79" i="3"/>
  <c r="BA80" i="3"/>
  <c r="BB80" i="3"/>
  <c r="BA81" i="3"/>
  <c r="BB81" i="3"/>
  <c r="BB77" i="3"/>
  <c r="BA77" i="3"/>
  <c r="AD78" i="3"/>
  <c r="AD79" i="3"/>
  <c r="AD80" i="3"/>
  <c r="AD81" i="3"/>
  <c r="AD77" i="3"/>
  <c r="AC78" i="3"/>
  <c r="AC79" i="3"/>
  <c r="AC80" i="3"/>
  <c r="AC81" i="3"/>
  <c r="AC77" i="3"/>
  <c r="W81" i="3"/>
  <c r="W79" i="3"/>
  <c r="W78" i="3"/>
  <c r="W77" i="3"/>
  <c r="V81" i="3"/>
  <c r="V79" i="3"/>
  <c r="V78" i="3"/>
  <c r="V77" i="3"/>
  <c r="J81" i="3"/>
  <c r="J80" i="3"/>
  <c r="J78" i="3"/>
  <c r="J79" i="3"/>
  <c r="J77" i="3"/>
  <c r="K77" i="3"/>
  <c r="K78" i="3"/>
  <c r="K79" i="3"/>
  <c r="K80" i="3"/>
  <c r="K81" i="3"/>
  <c r="I81" i="3"/>
  <c r="I80" i="3"/>
  <c r="I78" i="3"/>
  <c r="I79" i="3"/>
  <c r="I77" i="3"/>
  <c r="O78" i="3"/>
  <c r="O79" i="3"/>
  <c r="O80" i="3"/>
  <c r="O81" i="3"/>
  <c r="O77" i="3"/>
  <c r="BS74" i="3"/>
  <c r="BS75" i="3"/>
  <c r="BS76" i="3"/>
  <c r="BA74" i="3"/>
  <c r="BA75" i="3"/>
  <c r="BA76" i="3"/>
  <c r="AT76" i="3"/>
  <c r="AT75" i="3"/>
  <c r="AT74" i="3"/>
  <c r="AC74" i="3"/>
  <c r="AC75" i="3"/>
  <c r="AC76" i="3"/>
  <c r="V76" i="3"/>
  <c r="V75" i="3"/>
  <c r="V74" i="3"/>
  <c r="BS73" i="3"/>
  <c r="BA73" i="3"/>
  <c r="AT73" i="3"/>
  <c r="AC73" i="3"/>
  <c r="V73" i="3"/>
  <c r="I76" i="3"/>
  <c r="J76" i="3"/>
  <c r="K76" i="3"/>
  <c r="J75" i="3"/>
  <c r="K75" i="3"/>
  <c r="I75" i="3"/>
  <c r="I74" i="3"/>
  <c r="J74" i="3"/>
  <c r="K74" i="3"/>
  <c r="J73" i="3"/>
  <c r="K73" i="3"/>
  <c r="I73" i="3"/>
  <c r="O74" i="3"/>
  <c r="O75" i="3"/>
  <c r="O76" i="3"/>
  <c r="O73" i="3"/>
  <c r="BS66" i="3" l="1"/>
  <c r="BS65" i="3"/>
  <c r="BS61" i="3"/>
  <c r="BS64" i="3"/>
  <c r="BS60" i="3"/>
  <c r="AT61" i="3"/>
  <c r="AT62" i="3"/>
  <c r="AT63" i="3"/>
  <c r="AT64" i="3"/>
  <c r="AT65" i="3"/>
  <c r="AT66" i="3"/>
  <c r="AT60" i="3"/>
  <c r="V61" i="3"/>
  <c r="V62" i="3"/>
  <c r="V63" i="3"/>
  <c r="V64" i="3"/>
  <c r="V65" i="3"/>
  <c r="V66" i="3"/>
  <c r="V60" i="3"/>
  <c r="O61" i="3"/>
  <c r="O62" i="3"/>
  <c r="O63" i="3"/>
  <c r="O64" i="3"/>
  <c r="O65" i="3"/>
  <c r="O66" i="3"/>
  <c r="O60" i="3"/>
  <c r="J60" i="3"/>
  <c r="J61" i="3"/>
  <c r="J62" i="3"/>
  <c r="J63" i="3"/>
  <c r="J64" i="3"/>
  <c r="J65" i="3"/>
  <c r="J66" i="3"/>
  <c r="K66" i="3"/>
  <c r="K65" i="3"/>
  <c r="K64" i="3"/>
  <c r="K63" i="3"/>
  <c r="K62" i="3"/>
  <c r="K61" i="3"/>
  <c r="K60" i="3"/>
  <c r="BS59" i="3"/>
  <c r="BA59" i="3"/>
  <c r="AT59" i="3"/>
  <c r="AC59" i="3"/>
  <c r="V59" i="3"/>
  <c r="O59" i="3"/>
  <c r="J59" i="3"/>
  <c r="K59" i="3"/>
  <c r="BS33" i="3" l="1"/>
  <c r="BS31" i="3"/>
  <c r="BS32" i="3"/>
  <c r="BA32" i="3"/>
  <c r="BA33" i="3"/>
  <c r="BA31" i="3"/>
  <c r="AT32" i="3"/>
  <c r="AT33" i="3"/>
  <c r="AT31" i="3"/>
  <c r="AC32" i="3"/>
  <c r="AC33" i="3"/>
  <c r="AC31" i="3"/>
  <c r="V32" i="3"/>
  <c r="V33" i="3"/>
  <c r="V31" i="3"/>
  <c r="O32" i="3"/>
  <c r="O33" i="3"/>
  <c r="O31" i="3"/>
  <c r="J32" i="3"/>
  <c r="K32" i="3"/>
  <c r="J33" i="3"/>
  <c r="K33" i="3"/>
  <c r="J31" i="3"/>
  <c r="K31" i="3"/>
  <c r="BS29" i="3"/>
  <c r="BS30" i="3"/>
  <c r="BS28" i="3"/>
  <c r="BA29" i="3"/>
  <c r="BA30" i="3"/>
  <c r="BA28" i="3"/>
  <c r="AT29" i="3"/>
  <c r="AT30" i="3"/>
  <c r="AT28" i="3"/>
  <c r="AC29" i="3"/>
  <c r="AC30" i="3"/>
  <c r="AC28" i="3"/>
  <c r="V29" i="3"/>
  <c r="V30" i="3"/>
  <c r="V28" i="3"/>
  <c r="O29" i="3"/>
  <c r="O30" i="3"/>
  <c r="O28" i="3"/>
  <c r="J29" i="3"/>
  <c r="K29" i="3"/>
  <c r="J30" i="3"/>
  <c r="K30" i="3"/>
  <c r="J28" i="3"/>
  <c r="K28" i="3"/>
  <c r="BS23" i="3"/>
  <c r="BS24" i="3"/>
  <c r="BS25" i="3"/>
  <c r="BS26" i="3"/>
  <c r="BS27" i="3"/>
  <c r="BS22" i="3"/>
  <c r="AC23" i="3"/>
  <c r="AC24" i="3"/>
  <c r="AC25" i="3"/>
  <c r="AC26" i="3"/>
  <c r="AC27" i="3"/>
  <c r="AC22" i="3"/>
  <c r="BA23" i="3"/>
  <c r="BA24" i="3"/>
  <c r="BA25" i="3"/>
  <c r="BA26" i="3"/>
  <c r="BA27" i="3"/>
  <c r="BA22" i="3"/>
  <c r="AT27" i="3"/>
  <c r="AT23" i="3"/>
  <c r="AT24" i="3"/>
  <c r="AT25" i="3"/>
  <c r="AT26" i="3"/>
  <c r="AT22" i="3"/>
  <c r="V23" i="3"/>
  <c r="V24" i="3"/>
  <c r="V25" i="3"/>
  <c r="V26" i="3"/>
  <c r="V22" i="3"/>
  <c r="V27" i="3"/>
  <c r="O25" i="3"/>
  <c r="O23" i="3"/>
  <c r="O24" i="3"/>
  <c r="O26" i="3"/>
  <c r="O22" i="3"/>
  <c r="J22" i="3"/>
  <c r="K22" i="3"/>
  <c r="J23" i="3"/>
  <c r="K23" i="3"/>
  <c r="J24" i="3"/>
  <c r="K24" i="3"/>
  <c r="J25" i="3"/>
  <c r="K25" i="3"/>
  <c r="J26" i="3"/>
  <c r="K26" i="3"/>
  <c r="J27" i="3"/>
  <c r="K27" i="3"/>
  <c r="AU21" i="3"/>
  <c r="BT21" i="3"/>
  <c r="BS21" i="3"/>
  <c r="BA21" i="3" l="1"/>
  <c r="AT21" i="3"/>
  <c r="AD21" i="3"/>
  <c r="AC21" i="3"/>
  <c r="W21" i="3"/>
  <c r="V21" i="3"/>
  <c r="O21" i="3"/>
  <c r="J21" i="3"/>
  <c r="K21" i="3"/>
  <c r="AT15" i="3" l="1"/>
  <c r="AT16" i="3"/>
  <c r="AT14" i="3"/>
  <c r="V15" i="3"/>
  <c r="V16" i="3"/>
  <c r="V14" i="3"/>
  <c r="J14" i="3"/>
  <c r="K14" i="3"/>
  <c r="J15" i="3"/>
  <c r="K15" i="3"/>
  <c r="J16" i="3"/>
  <c r="K16" i="3"/>
  <c r="AT7" i="3"/>
  <c r="AT8" i="3"/>
  <c r="AT9" i="3"/>
  <c r="AT10" i="3"/>
  <c r="AT11" i="3"/>
  <c r="AT12" i="3"/>
  <c r="AT13" i="3"/>
  <c r="AT6" i="3"/>
  <c r="V7" i="3"/>
  <c r="V8" i="3"/>
  <c r="V9" i="3"/>
  <c r="V10" i="3"/>
  <c r="V11" i="3"/>
  <c r="V12" i="3"/>
  <c r="V13" i="3"/>
  <c r="V6" i="3"/>
  <c r="O13" i="3"/>
  <c r="O12" i="3"/>
  <c r="O11" i="3"/>
  <c r="O9" i="3"/>
  <c r="O8" i="3"/>
  <c r="O7" i="3"/>
  <c r="J7" i="3"/>
  <c r="K7" i="3"/>
  <c r="J8" i="3"/>
  <c r="K8" i="3"/>
  <c r="J9" i="3"/>
  <c r="K9" i="3"/>
  <c r="J10" i="3"/>
  <c r="K10" i="3"/>
  <c r="J11" i="3"/>
  <c r="K11" i="3"/>
  <c r="J12" i="3"/>
  <c r="K12" i="3"/>
  <c r="J13" i="3"/>
  <c r="K13" i="3"/>
  <c r="K6" i="3"/>
  <c r="J6" i="3"/>
  <c r="O318" i="3" l="1"/>
  <c r="K318" i="3"/>
  <c r="O317" i="3"/>
  <c r="K317" i="3"/>
  <c r="O316" i="3"/>
  <c r="K316" i="3"/>
  <c r="O315" i="3"/>
  <c r="K315" i="3"/>
  <c r="O314" i="3"/>
  <c r="K314" i="3"/>
  <c r="O313" i="3"/>
  <c r="K313" i="3"/>
  <c r="O312" i="3"/>
  <c r="K312" i="3"/>
  <c r="O311" i="3"/>
  <c r="K311" i="3"/>
  <c r="O310" i="3"/>
  <c r="K310" i="3"/>
  <c r="O309" i="3"/>
  <c r="K309" i="3"/>
  <c r="O308" i="3"/>
  <c r="K308" i="3"/>
  <c r="O307" i="3"/>
  <c r="K307" i="3"/>
  <c r="O306" i="3"/>
  <c r="K306" i="3"/>
  <c r="O305" i="3"/>
  <c r="K305" i="3"/>
  <c r="O304" i="3"/>
  <c r="K304" i="3"/>
  <c r="O303" i="3"/>
  <c r="K303" i="3"/>
  <c r="O302" i="3"/>
  <c r="K302" i="3"/>
  <c r="O301" i="3"/>
  <c r="K301" i="3"/>
  <c r="O300" i="3"/>
  <c r="K300" i="3"/>
  <c r="O299" i="3"/>
  <c r="K299" i="3"/>
  <c r="O298" i="3"/>
  <c r="K298" i="3"/>
  <c r="O297" i="3"/>
  <c r="K297" i="3"/>
  <c r="O296" i="3"/>
  <c r="K296" i="3"/>
  <c r="O295" i="3"/>
  <c r="K295" i="3"/>
  <c r="O294" i="3"/>
  <c r="K294" i="3"/>
  <c r="O293" i="3"/>
  <c r="K293" i="3"/>
  <c r="K288" i="3"/>
  <c r="K287" i="3"/>
  <c r="O286" i="3"/>
  <c r="K286" i="3"/>
  <c r="O285" i="3"/>
  <c r="K285" i="3"/>
  <c r="O284" i="3"/>
  <c r="K284" i="3"/>
  <c r="O283" i="3"/>
  <c r="K283" i="3"/>
  <c r="K282" i="3"/>
  <c r="K281" i="3"/>
  <c r="O280" i="3"/>
  <c r="K280" i="3"/>
  <c r="K279" i="3"/>
  <c r="O278" i="3"/>
  <c r="O277" i="3"/>
  <c r="K277" i="3"/>
  <c r="O276" i="3"/>
  <c r="K276" i="3"/>
  <c r="O275" i="3"/>
  <c r="K275" i="3"/>
  <c r="K273" i="3"/>
  <c r="K272" i="3"/>
  <c r="K271" i="3"/>
  <c r="K270" i="3"/>
  <c r="K269" i="3"/>
  <c r="O263" i="3"/>
  <c r="K263" i="3"/>
  <c r="K262" i="3"/>
  <c r="BB261" i="3"/>
  <c r="BA261" i="3"/>
  <c r="AU261" i="3"/>
  <c r="AT261" i="3"/>
  <c r="AD261" i="3"/>
  <c r="AC261" i="3"/>
  <c r="W261" i="3"/>
  <c r="V261" i="3"/>
  <c r="J261" i="3"/>
  <c r="K261" i="3" s="1"/>
  <c r="I261" i="3"/>
  <c r="BB260" i="3"/>
  <c r="BA260" i="3"/>
  <c r="AU260" i="3"/>
  <c r="AT260" i="3"/>
  <c r="AD260" i="3"/>
  <c r="AC260" i="3"/>
  <c r="W260" i="3"/>
  <c r="V260" i="3"/>
  <c r="J260" i="3"/>
  <c r="K260" i="3" s="1"/>
  <c r="I260" i="3"/>
  <c r="BB259" i="3"/>
  <c r="BA259" i="3"/>
  <c r="AU259" i="3"/>
  <c r="AT259" i="3"/>
  <c r="AD259" i="3"/>
  <c r="AC259" i="3"/>
  <c r="W259" i="3"/>
  <c r="V259" i="3"/>
  <c r="J259" i="3"/>
  <c r="K259" i="3" s="1"/>
  <c r="I259" i="3"/>
  <c r="K258" i="3"/>
  <c r="O257" i="3"/>
  <c r="K257" i="3"/>
  <c r="O256" i="3"/>
  <c r="K256" i="3"/>
  <c r="O255" i="3"/>
  <c r="K255" i="3"/>
  <c r="O254" i="3"/>
  <c r="K254" i="3"/>
  <c r="O253" i="3"/>
  <c r="K253" i="3"/>
  <c r="O252" i="3"/>
  <c r="K252" i="3"/>
  <c r="O249" i="3"/>
  <c r="O248" i="3"/>
  <c r="O247" i="3"/>
  <c r="BB246" i="3"/>
  <c r="AU246" i="3"/>
  <c r="AD246" i="3"/>
  <c r="W246" i="3"/>
  <c r="K246" i="3"/>
  <c r="J245" i="3"/>
  <c r="J244" i="3"/>
  <c r="J243" i="3"/>
  <c r="O242" i="3"/>
  <c r="K242" i="3"/>
  <c r="BB238" i="3"/>
  <c r="AU238" i="3"/>
  <c r="AD238" i="3"/>
  <c r="W238" i="3"/>
  <c r="K238" i="3"/>
  <c r="BB237" i="3"/>
  <c r="AU237" i="3"/>
  <c r="AD237" i="3"/>
  <c r="W237" i="3"/>
  <c r="K237" i="3"/>
  <c r="BB236" i="3"/>
  <c r="AU236" i="3"/>
  <c r="AD236" i="3"/>
  <c r="W236" i="3"/>
  <c r="K236" i="3"/>
  <c r="K234" i="3"/>
  <c r="O233" i="3"/>
  <c r="K233" i="3"/>
  <c r="AU232" i="3"/>
  <c r="AT232" i="3"/>
  <c r="AD232" i="3"/>
  <c r="AC232" i="3"/>
  <c r="BA232" i="3" s="1"/>
  <c r="W232" i="3"/>
  <c r="V232" i="3"/>
  <c r="J232" i="3"/>
  <c r="K232" i="3" s="1"/>
  <c r="I232" i="3"/>
  <c r="AU231" i="3"/>
  <c r="AT231" i="3"/>
  <c r="AD231" i="3"/>
  <c r="AC231" i="3"/>
  <c r="BA231" i="3" s="1"/>
  <c r="W231" i="3"/>
  <c r="V231" i="3"/>
  <c r="J231" i="3"/>
  <c r="K231" i="3" s="1"/>
  <c r="I231" i="3"/>
  <c r="AU230" i="3"/>
  <c r="AT230" i="3"/>
  <c r="AD230" i="3"/>
  <c r="AC230" i="3"/>
  <c r="BA230" i="3" s="1"/>
  <c r="W230" i="3"/>
  <c r="V230" i="3"/>
  <c r="J230" i="3"/>
  <c r="K230" i="3" s="1"/>
  <c r="I230" i="3"/>
  <c r="AU229" i="3"/>
  <c r="AT229" i="3"/>
  <c r="AD229" i="3"/>
  <c r="AC229" i="3"/>
  <c r="BA229" i="3" s="1"/>
  <c r="W229" i="3"/>
  <c r="V229" i="3"/>
  <c r="J229" i="3"/>
  <c r="K229" i="3" s="1"/>
  <c r="I229" i="3"/>
  <c r="AU228" i="3"/>
  <c r="AT228" i="3"/>
  <c r="AD228" i="3"/>
  <c r="AC228" i="3"/>
  <c r="BA228" i="3" s="1"/>
  <c r="W228" i="3"/>
  <c r="V228" i="3"/>
  <c r="J228" i="3"/>
  <c r="K228" i="3" s="1"/>
  <c r="I228" i="3"/>
  <c r="AU227" i="3"/>
  <c r="AT227" i="3"/>
  <c r="AC227" i="3"/>
  <c r="BA227" i="3" s="1"/>
  <c r="W227" i="3"/>
  <c r="V227" i="3"/>
  <c r="J227" i="3"/>
  <c r="K227" i="3" s="1"/>
  <c r="I227" i="3"/>
  <c r="O225" i="3"/>
  <c r="BB220" i="3"/>
  <c r="AU220" i="3"/>
  <c r="AD220" i="3"/>
  <c r="W220" i="3"/>
  <c r="O220" i="3"/>
  <c r="BB219" i="3"/>
  <c r="AU219" i="3"/>
  <c r="AD219" i="3"/>
  <c r="W219" i="3"/>
  <c r="O219" i="3"/>
  <c r="BB218" i="3"/>
  <c r="AU218" i="3"/>
  <c r="AD218" i="3"/>
  <c r="W218" i="3"/>
  <c r="O218" i="3"/>
  <c r="O217" i="3"/>
  <c r="O216" i="3"/>
  <c r="BB209" i="3"/>
  <c r="BA209" i="3"/>
  <c r="AU209" i="3"/>
  <c r="AT209" i="3"/>
  <c r="AD209" i="3"/>
  <c r="AC209" i="3"/>
  <c r="W209" i="3"/>
  <c r="V209" i="3"/>
  <c r="K209" i="3"/>
  <c r="J209" i="3"/>
  <c r="I209" i="3"/>
  <c r="O199" i="3"/>
  <c r="O198" i="3"/>
  <c r="O197" i="3"/>
  <c r="O196" i="3"/>
  <c r="O195" i="3"/>
  <c r="O194" i="3"/>
  <c r="O193" i="3"/>
  <c r="O192" i="3"/>
  <c r="O191" i="3"/>
  <c r="BA190" i="3"/>
  <c r="AT190" i="3"/>
  <c r="AC190" i="3"/>
  <c r="V190" i="3"/>
  <c r="O190" i="3"/>
  <c r="K190" i="3"/>
  <c r="J190" i="3"/>
  <c r="I190" i="3"/>
  <c r="BB189" i="3"/>
  <c r="BA189" i="3"/>
  <c r="AU189" i="3"/>
  <c r="AT189" i="3"/>
  <c r="AD189" i="3"/>
  <c r="AC189" i="3"/>
  <c r="W189" i="3"/>
  <c r="V189" i="3"/>
  <c r="O189" i="3"/>
  <c r="K189" i="3"/>
  <c r="J189" i="3"/>
  <c r="I189" i="3"/>
  <c r="BB188" i="3"/>
  <c r="BA188" i="3"/>
  <c r="AU188" i="3"/>
  <c r="AT188" i="3"/>
  <c r="AD188" i="3"/>
  <c r="AC188" i="3"/>
  <c r="W188" i="3"/>
  <c r="V188" i="3"/>
  <c r="O188" i="3"/>
  <c r="K188" i="3"/>
  <c r="J188" i="3"/>
  <c r="I188" i="3"/>
  <c r="BB187" i="3"/>
  <c r="BA187" i="3"/>
  <c r="AU187" i="3"/>
  <c r="AT187" i="3"/>
  <c r="AD187" i="3"/>
  <c r="AC187" i="3"/>
  <c r="W187" i="3"/>
  <c r="V187" i="3"/>
  <c r="O187" i="3"/>
  <c r="K187" i="3"/>
  <c r="J187" i="3"/>
  <c r="I187" i="3"/>
  <c r="BB186" i="3"/>
  <c r="BA186" i="3"/>
  <c r="AU186" i="3"/>
  <c r="AT186" i="3"/>
  <c r="AD186" i="3"/>
  <c r="AC186" i="3"/>
  <c r="W186" i="3"/>
  <c r="V186" i="3"/>
  <c r="O186" i="3"/>
  <c r="K186" i="3"/>
  <c r="J186" i="3"/>
  <c r="I186" i="3"/>
  <c r="BB185" i="3"/>
  <c r="BA185" i="3"/>
  <c r="AU185" i="3"/>
  <c r="AT185" i="3"/>
  <c r="AD185" i="3"/>
  <c r="AC185" i="3"/>
  <c r="W185" i="3"/>
  <c r="V185" i="3"/>
  <c r="O185" i="3"/>
  <c r="K185" i="3"/>
  <c r="J185" i="3"/>
  <c r="I185" i="3"/>
  <c r="O184" i="3"/>
  <c r="O183" i="3"/>
  <c r="BB182" i="3"/>
  <c r="BA182" i="3"/>
  <c r="AU182" i="3"/>
  <c r="AT182" i="3"/>
  <c r="AD182" i="3"/>
  <c r="AC182" i="3"/>
  <c r="W182" i="3"/>
  <c r="V182" i="3"/>
  <c r="O182" i="3"/>
  <c r="K182" i="3"/>
  <c r="J182" i="3"/>
  <c r="I182" i="3"/>
  <c r="BB181" i="3"/>
  <c r="BA181" i="3"/>
  <c r="AU181" i="3"/>
  <c r="AT181" i="3"/>
  <c r="AD181" i="3"/>
  <c r="AC181" i="3"/>
  <c r="W181" i="3"/>
  <c r="V181" i="3"/>
  <c r="O181" i="3"/>
  <c r="K181" i="3"/>
  <c r="J181" i="3"/>
  <c r="I181" i="3"/>
  <c r="BB180" i="3"/>
  <c r="BA180" i="3"/>
  <c r="AU180" i="3"/>
  <c r="AT180" i="3"/>
  <c r="AD180" i="3"/>
  <c r="AC180" i="3"/>
  <c r="W180" i="3"/>
  <c r="V180" i="3"/>
  <c r="O180" i="3"/>
  <c r="K180" i="3"/>
  <c r="J180" i="3"/>
  <c r="I180" i="3"/>
  <c r="BB179" i="3"/>
  <c r="BA179" i="3"/>
  <c r="AU179" i="3"/>
  <c r="AT179" i="3"/>
  <c r="AD179" i="3"/>
  <c r="AC179" i="3"/>
  <c r="W179" i="3"/>
  <c r="V179" i="3"/>
  <c r="O179" i="3"/>
  <c r="K179" i="3"/>
  <c r="J179" i="3"/>
  <c r="I179" i="3"/>
  <c r="BB178" i="3"/>
  <c r="BA178" i="3"/>
  <c r="AU178" i="3"/>
  <c r="AT178" i="3"/>
  <c r="AD178" i="3"/>
  <c r="W178" i="3"/>
  <c r="V178" i="3"/>
  <c r="O178" i="3"/>
  <c r="K178" i="3"/>
  <c r="J178" i="3"/>
  <c r="I178" i="3"/>
  <c r="BB177" i="3"/>
  <c r="BA177" i="3"/>
  <c r="AU177" i="3"/>
  <c r="AT177" i="3"/>
  <c r="AD177" i="3"/>
  <c r="AC177" i="3"/>
  <c r="W177" i="3"/>
  <c r="V177" i="3"/>
  <c r="O177" i="3"/>
  <c r="K177" i="3"/>
  <c r="J177" i="3"/>
  <c r="I177" i="3"/>
  <c r="BB176" i="3"/>
  <c r="BA176" i="3"/>
  <c r="AU176" i="3"/>
  <c r="AT176" i="3"/>
  <c r="AD176" i="3"/>
  <c r="AC176" i="3"/>
  <c r="W176" i="3"/>
  <c r="V176" i="3"/>
  <c r="O176" i="3"/>
  <c r="K176" i="3"/>
  <c r="J176" i="3"/>
  <c r="I176" i="3"/>
  <c r="BB175" i="3"/>
  <c r="BA175" i="3"/>
  <c r="AU175" i="3"/>
  <c r="AT175" i="3"/>
  <c r="AD175" i="3"/>
  <c r="AC175" i="3"/>
  <c r="W175" i="3"/>
  <c r="V175" i="3"/>
  <c r="O175" i="3"/>
  <c r="K175" i="3"/>
  <c r="J175" i="3"/>
  <c r="I175" i="3"/>
  <c r="BB174" i="3"/>
  <c r="BA174" i="3"/>
  <c r="AU174" i="3"/>
  <c r="AT174" i="3"/>
  <c r="AD174" i="3"/>
  <c r="AC174" i="3"/>
  <c r="W174" i="3"/>
  <c r="V174" i="3"/>
  <c r="O174" i="3"/>
  <c r="K174" i="3"/>
  <c r="J174" i="3"/>
  <c r="I174" i="3"/>
  <c r="BB173" i="3"/>
  <c r="BA173" i="3"/>
  <c r="AU173" i="3"/>
  <c r="AT173" i="3"/>
  <c r="AD173" i="3"/>
  <c r="AC173" i="3"/>
  <c r="W173" i="3"/>
  <c r="V173" i="3"/>
  <c r="O173" i="3"/>
  <c r="K173" i="3"/>
  <c r="J173" i="3"/>
  <c r="I173" i="3"/>
  <c r="BA170" i="3"/>
  <c r="AT170" i="3"/>
  <c r="AC170" i="3"/>
  <c r="V170" i="3"/>
  <c r="K170" i="3"/>
  <c r="J170" i="3"/>
  <c r="I170" i="3"/>
  <c r="BB169" i="3"/>
  <c r="BA169" i="3"/>
  <c r="AU169" i="3"/>
  <c r="AT169" i="3"/>
  <c r="AD169" i="3"/>
  <c r="AC169" i="3"/>
  <c r="W169" i="3"/>
  <c r="V169" i="3"/>
  <c r="O169" i="3"/>
  <c r="K169" i="3"/>
  <c r="J169" i="3"/>
  <c r="I169" i="3"/>
  <c r="BB168" i="3"/>
  <c r="BA168" i="3"/>
  <c r="AU168" i="3"/>
  <c r="AT168" i="3"/>
  <c r="AD168" i="3"/>
  <c r="AC168" i="3"/>
  <c r="W168" i="3"/>
  <c r="V168" i="3"/>
  <c r="O168" i="3"/>
  <c r="K168" i="3"/>
  <c r="J168" i="3"/>
  <c r="I168" i="3"/>
  <c r="BB167" i="3"/>
  <c r="BA167" i="3"/>
  <c r="AU167" i="3"/>
  <c r="AT167" i="3"/>
  <c r="AD167" i="3"/>
  <c r="AC167" i="3"/>
  <c r="W167" i="3"/>
  <c r="V167" i="3"/>
  <c r="O167" i="3"/>
  <c r="K167" i="3"/>
  <c r="J167" i="3"/>
  <c r="I167" i="3"/>
  <c r="BB166" i="3"/>
  <c r="BA166" i="3"/>
  <c r="AU166" i="3"/>
  <c r="AT166" i="3"/>
  <c r="AD166" i="3"/>
  <c r="AC166" i="3"/>
  <c r="W166" i="3"/>
  <c r="V166" i="3"/>
  <c r="O166" i="3"/>
  <c r="K166" i="3"/>
  <c r="J166" i="3"/>
  <c r="I166" i="3"/>
  <c r="BB165" i="3"/>
  <c r="BA165" i="3"/>
  <c r="AU165" i="3"/>
  <c r="AT165" i="3"/>
  <c r="AD165" i="3"/>
  <c r="AC165" i="3"/>
  <c r="W165" i="3"/>
  <c r="V165" i="3"/>
  <c r="O165" i="3"/>
  <c r="K165" i="3"/>
  <c r="J165" i="3"/>
  <c r="I165" i="3"/>
  <c r="BB164" i="3"/>
  <c r="BA164" i="3"/>
  <c r="AU164" i="3"/>
  <c r="AT164" i="3"/>
  <c r="AD164" i="3"/>
  <c r="AC164" i="3"/>
  <c r="W164" i="3"/>
  <c r="V164" i="3"/>
  <c r="O164" i="3"/>
  <c r="K164" i="3"/>
  <c r="J164" i="3"/>
  <c r="I164" i="3"/>
  <c r="BB163" i="3"/>
  <c r="BA163" i="3"/>
  <c r="AU163" i="3"/>
  <c r="AT163" i="3"/>
  <c r="AD163" i="3"/>
  <c r="AC163" i="3"/>
  <c r="W163" i="3"/>
  <c r="V163" i="3"/>
  <c r="O163" i="3"/>
  <c r="K163" i="3"/>
  <c r="J163" i="3"/>
  <c r="I163" i="3"/>
  <c r="BB162" i="3"/>
  <c r="BA162" i="3"/>
  <c r="AU162" i="3"/>
  <c r="AT162" i="3"/>
  <c r="AD162" i="3"/>
  <c r="AC162" i="3"/>
  <c r="W162" i="3"/>
  <c r="V162" i="3"/>
  <c r="O162" i="3"/>
  <c r="K162" i="3"/>
  <c r="J162" i="3"/>
  <c r="I162" i="3"/>
  <c r="BB161" i="3"/>
  <c r="BA161" i="3"/>
  <c r="AU161" i="3"/>
  <c r="AT161" i="3"/>
  <c r="AD161" i="3"/>
  <c r="AC161" i="3"/>
  <c r="W161" i="3"/>
  <c r="V161" i="3"/>
  <c r="O161" i="3"/>
  <c r="K161" i="3"/>
  <c r="J161" i="3"/>
  <c r="I161" i="3"/>
  <c r="BB160" i="3"/>
  <c r="BA160" i="3"/>
  <c r="AU160" i="3"/>
  <c r="AT160" i="3"/>
  <c r="AD160" i="3"/>
  <c r="AC160" i="3"/>
  <c r="W160" i="3"/>
  <c r="V160" i="3"/>
  <c r="O160" i="3"/>
  <c r="K160" i="3"/>
  <c r="J160" i="3"/>
  <c r="I160" i="3"/>
  <c r="BA159" i="3"/>
  <c r="AZ159" i="3"/>
  <c r="AT159" i="3"/>
  <c r="AC159" i="3"/>
  <c r="V159" i="3"/>
  <c r="K159" i="3"/>
  <c r="J159" i="3"/>
  <c r="I159" i="3"/>
  <c r="O159" i="3" s="1"/>
  <c r="BA158" i="3"/>
  <c r="AZ158" i="3"/>
  <c r="AT158" i="3"/>
  <c r="AC158" i="3"/>
  <c r="V158" i="3"/>
  <c r="K158" i="3"/>
  <c r="J158" i="3"/>
  <c r="I158" i="3"/>
  <c r="O158" i="3" s="1"/>
  <c r="BA157" i="3"/>
  <c r="AZ157" i="3"/>
  <c r="AT157" i="3"/>
  <c r="AC157" i="3"/>
  <c r="V157" i="3"/>
  <c r="K157" i="3"/>
  <c r="J157" i="3"/>
  <c r="I157" i="3"/>
  <c r="O157" i="3" s="1"/>
  <c r="BA156" i="3"/>
  <c r="AZ156" i="3"/>
  <c r="AT156" i="3"/>
  <c r="AC156" i="3"/>
  <c r="V156" i="3"/>
  <c r="K156" i="3"/>
  <c r="J156" i="3"/>
  <c r="I156" i="3"/>
  <c r="O156" i="3" s="1"/>
  <c r="BA155" i="3"/>
  <c r="AT155" i="3"/>
  <c r="AC155" i="3"/>
  <c r="V155" i="3"/>
  <c r="K155" i="3"/>
  <c r="J155" i="3"/>
  <c r="I155" i="3"/>
  <c r="O155" i="3" s="1"/>
  <c r="BB154" i="3"/>
  <c r="BA154" i="3"/>
  <c r="AU154" i="3"/>
  <c r="AT154" i="3"/>
  <c r="AD154" i="3"/>
  <c r="AC154" i="3"/>
  <c r="W154" i="3"/>
  <c r="V154" i="3"/>
  <c r="O154" i="3"/>
  <c r="K154" i="3"/>
  <c r="J154" i="3"/>
  <c r="I154" i="3"/>
  <c r="BB153" i="3"/>
  <c r="BA153" i="3"/>
  <c r="AU153" i="3"/>
  <c r="AT153" i="3"/>
  <c r="AD153" i="3"/>
  <c r="AC153" i="3"/>
  <c r="W153" i="3"/>
  <c r="V153" i="3"/>
  <c r="O153" i="3"/>
  <c r="K153" i="3"/>
  <c r="J153" i="3"/>
  <c r="I153" i="3"/>
  <c r="BB152" i="3"/>
  <c r="BA152" i="3"/>
  <c r="AU152" i="3"/>
  <c r="AT152" i="3"/>
  <c r="AD152" i="3"/>
  <c r="AC152" i="3"/>
  <c r="W152" i="3"/>
  <c r="V152" i="3"/>
  <c r="O152" i="3"/>
  <c r="K152" i="3"/>
  <c r="J152" i="3"/>
  <c r="I152" i="3"/>
  <c r="BB151" i="3"/>
  <c r="BA151" i="3"/>
  <c r="AU151" i="3"/>
  <c r="AT151" i="3"/>
  <c r="AD151" i="3"/>
  <c r="AC151" i="3"/>
  <c r="W151" i="3"/>
  <c r="V151" i="3"/>
  <c r="O151" i="3"/>
  <c r="K151" i="3"/>
  <c r="J151" i="3"/>
  <c r="I151" i="3"/>
  <c r="BB150" i="3"/>
  <c r="BA150" i="3"/>
  <c r="AU150" i="3"/>
  <c r="AT150" i="3"/>
  <c r="AD150" i="3"/>
  <c r="AC150" i="3"/>
  <c r="W150" i="3"/>
  <c r="V150" i="3"/>
  <c r="O150" i="3"/>
  <c r="K150" i="3"/>
  <c r="J150" i="3"/>
  <c r="I150" i="3"/>
  <c r="BB149" i="3"/>
  <c r="BA149" i="3"/>
  <c r="AU149" i="3"/>
  <c r="AT149" i="3"/>
  <c r="AD149" i="3"/>
  <c r="AC149" i="3"/>
  <c r="W149" i="3"/>
  <c r="V149" i="3"/>
  <c r="O149" i="3"/>
  <c r="K149" i="3"/>
  <c r="J149" i="3"/>
  <c r="I149" i="3"/>
  <c r="BB148" i="3"/>
  <c r="BA148" i="3"/>
  <c r="AU148" i="3"/>
  <c r="AT148" i="3"/>
  <c r="AD148" i="3"/>
  <c r="AC148" i="3"/>
  <c r="W148" i="3"/>
  <c r="V148" i="3"/>
  <c r="O148" i="3"/>
  <c r="K148" i="3"/>
  <c r="J148" i="3"/>
  <c r="I148" i="3"/>
  <c r="BB146" i="3"/>
  <c r="BA146" i="3"/>
  <c r="AU146" i="3"/>
  <c r="AT146" i="3"/>
  <c r="AD146" i="3"/>
  <c r="AC146" i="3"/>
  <c r="W146" i="3"/>
  <c r="V146" i="3"/>
  <c r="O146" i="3"/>
  <c r="K146" i="3"/>
  <c r="J146" i="3"/>
  <c r="I146" i="3"/>
  <c r="BB145" i="3"/>
  <c r="BA145" i="3"/>
  <c r="AU145" i="3"/>
  <c r="AT145" i="3"/>
  <c r="AD145" i="3"/>
  <c r="AC145" i="3"/>
  <c r="W145" i="3"/>
  <c r="V145" i="3"/>
  <c r="O145" i="3"/>
  <c r="K145" i="3"/>
  <c r="J145" i="3"/>
  <c r="I145" i="3"/>
  <c r="BB144" i="3"/>
  <c r="BA144" i="3"/>
  <c r="AU144" i="3"/>
  <c r="AT144" i="3"/>
  <c r="AD144" i="3"/>
  <c r="AC144" i="3"/>
  <c r="W144" i="3"/>
  <c r="V144" i="3"/>
  <c r="O144" i="3"/>
  <c r="K144" i="3"/>
  <c r="J144" i="3"/>
  <c r="I144" i="3"/>
  <c r="BB143" i="3"/>
  <c r="BA143" i="3"/>
  <c r="AU143" i="3"/>
  <c r="AT143" i="3"/>
  <c r="AD143" i="3"/>
  <c r="AC143" i="3"/>
  <c r="W143" i="3"/>
  <c r="V143" i="3"/>
  <c r="O143" i="3"/>
  <c r="K143" i="3"/>
  <c r="J143" i="3"/>
  <c r="I143" i="3"/>
  <c r="BB142" i="3"/>
  <c r="BA142" i="3"/>
  <c r="AU142" i="3"/>
  <c r="AT142" i="3"/>
  <c r="AD142" i="3"/>
  <c r="AC142" i="3"/>
  <c r="W142" i="3"/>
  <c r="V142" i="3"/>
  <c r="O142" i="3"/>
  <c r="K142" i="3"/>
  <c r="J142" i="3"/>
  <c r="I142" i="3"/>
  <c r="BB141" i="3"/>
  <c r="BA141" i="3"/>
  <c r="AU141" i="3"/>
  <c r="AT141" i="3"/>
  <c r="AD141" i="3"/>
  <c r="AC141" i="3"/>
  <c r="W141" i="3"/>
  <c r="V141" i="3"/>
  <c r="O141" i="3"/>
  <c r="K141" i="3"/>
  <c r="J141" i="3"/>
  <c r="I141" i="3"/>
  <c r="BB140" i="3"/>
  <c r="BA140" i="3"/>
  <c r="AU140" i="3"/>
  <c r="AT140" i="3"/>
  <c r="AD140" i="3"/>
  <c r="AC140" i="3"/>
  <c r="W140" i="3"/>
  <c r="V140" i="3"/>
  <c r="O140" i="3"/>
  <c r="K140" i="3"/>
  <c r="J140" i="3"/>
  <c r="I140" i="3"/>
  <c r="BB139" i="3"/>
  <c r="BA139" i="3"/>
  <c r="AU139" i="3"/>
  <c r="AT139" i="3"/>
  <c r="AD139" i="3"/>
  <c r="AC139" i="3"/>
  <c r="W139" i="3"/>
  <c r="V139" i="3"/>
  <c r="O139" i="3"/>
  <c r="K139" i="3"/>
  <c r="J139" i="3"/>
  <c r="I139" i="3"/>
  <c r="BB138" i="3"/>
  <c r="BA138" i="3"/>
  <c r="AU138" i="3"/>
  <c r="AT138" i="3"/>
  <c r="AD138" i="3"/>
  <c r="AC138" i="3"/>
  <c r="W138" i="3"/>
  <c r="V138" i="3"/>
  <c r="O138" i="3"/>
  <c r="K138" i="3"/>
  <c r="J138" i="3"/>
  <c r="I138" i="3"/>
  <c r="AU135" i="3"/>
  <c r="AT135" i="3"/>
  <c r="W135" i="3"/>
  <c r="V135" i="3"/>
  <c r="K135" i="3"/>
  <c r="J135" i="3"/>
  <c r="I135" i="3"/>
  <c r="AU134" i="3"/>
  <c r="AT134" i="3"/>
  <c r="W134" i="3"/>
  <c r="V134" i="3"/>
  <c r="O134" i="3"/>
  <c r="K134" i="3"/>
  <c r="J134" i="3"/>
  <c r="I134" i="3"/>
  <c r="AU133" i="3"/>
  <c r="AT133" i="3"/>
  <c r="W133" i="3"/>
  <c r="V133" i="3"/>
  <c r="O133" i="3"/>
  <c r="K133" i="3"/>
  <c r="J133" i="3"/>
  <c r="I133" i="3"/>
  <c r="AU132" i="3"/>
  <c r="AT132" i="3"/>
  <c r="W132" i="3"/>
  <c r="V132" i="3"/>
  <c r="O132" i="3"/>
  <c r="K132" i="3"/>
  <c r="J132" i="3"/>
  <c r="I132" i="3"/>
  <c r="AU131" i="3"/>
  <c r="AT131" i="3"/>
  <c r="W131" i="3"/>
  <c r="V131" i="3"/>
  <c r="O131" i="3"/>
  <c r="K131" i="3"/>
  <c r="J131" i="3"/>
  <c r="I131" i="3"/>
  <c r="AU130" i="3"/>
  <c r="AT130" i="3"/>
  <c r="W130" i="3"/>
  <c r="V130" i="3"/>
  <c r="O130" i="3"/>
  <c r="K130" i="3"/>
  <c r="J130" i="3"/>
  <c r="I130" i="3"/>
  <c r="AU129" i="3"/>
  <c r="AT129" i="3"/>
  <c r="W129" i="3"/>
  <c r="V129" i="3"/>
  <c r="O129" i="3"/>
  <c r="K129" i="3"/>
  <c r="J129" i="3"/>
  <c r="I129" i="3"/>
  <c r="AU128" i="3"/>
  <c r="AT128" i="3"/>
  <c r="W128" i="3"/>
  <c r="V128" i="3"/>
  <c r="O128" i="3"/>
  <c r="K128" i="3"/>
  <c r="J128" i="3"/>
  <c r="I128" i="3"/>
  <c r="BA127" i="3"/>
  <c r="AT127" i="3"/>
  <c r="AC127" i="3"/>
  <c r="V127" i="3"/>
  <c r="K127" i="3"/>
  <c r="J127" i="3"/>
  <c r="I127" i="3"/>
  <c r="BA126" i="3"/>
  <c r="AT126" i="3"/>
  <c r="AC126" i="3"/>
  <c r="V126" i="3"/>
  <c r="K126" i="3"/>
  <c r="J126" i="3"/>
  <c r="I126" i="3"/>
  <c r="BA125" i="3"/>
  <c r="AT125" i="3"/>
  <c r="AC125" i="3"/>
  <c r="V125" i="3"/>
  <c r="K125" i="3"/>
  <c r="J125" i="3"/>
  <c r="I125" i="3"/>
  <c r="BA124" i="3"/>
  <c r="AT124" i="3"/>
  <c r="AC124" i="3"/>
  <c r="V124" i="3"/>
  <c r="K124" i="3"/>
  <c r="J124" i="3"/>
  <c r="I124" i="3"/>
  <c r="BB123" i="3"/>
  <c r="BA123" i="3"/>
  <c r="AU123" i="3"/>
  <c r="AT123" i="3"/>
  <c r="AD123" i="3"/>
  <c r="AC123" i="3"/>
  <c r="W123" i="3"/>
  <c r="V123" i="3"/>
  <c r="O123" i="3"/>
  <c r="K123" i="3"/>
  <c r="J123" i="3"/>
  <c r="I123" i="3"/>
  <c r="BB122" i="3"/>
  <c r="BA122" i="3"/>
  <c r="AU122" i="3"/>
  <c r="AT122" i="3"/>
  <c r="AD122" i="3"/>
  <c r="AC122" i="3"/>
  <c r="W122" i="3"/>
  <c r="V122" i="3"/>
  <c r="O122" i="3"/>
  <c r="K122" i="3"/>
  <c r="J122" i="3"/>
  <c r="I122" i="3"/>
  <c r="BB121" i="3"/>
  <c r="BA121" i="3"/>
  <c r="AU121" i="3"/>
  <c r="AT121" i="3"/>
  <c r="AD121" i="3"/>
  <c r="AC121" i="3"/>
  <c r="W121" i="3"/>
  <c r="V121" i="3"/>
  <c r="O121" i="3"/>
  <c r="K121" i="3"/>
  <c r="J121" i="3"/>
  <c r="I121" i="3"/>
  <c r="BB120" i="3"/>
  <c r="BA120" i="3"/>
  <c r="AU120" i="3"/>
  <c r="AT120" i="3"/>
  <c r="AD120" i="3"/>
  <c r="AC120" i="3"/>
  <c r="W120" i="3"/>
  <c r="V120" i="3"/>
  <c r="O120" i="3"/>
  <c r="K120" i="3"/>
  <c r="J120" i="3"/>
  <c r="I120" i="3"/>
  <c r="BB119" i="3"/>
  <c r="BA119" i="3"/>
  <c r="AU119" i="3"/>
  <c r="AT119" i="3"/>
  <c r="AD119" i="3"/>
  <c r="AC119" i="3"/>
  <c r="W119" i="3"/>
  <c r="V119" i="3"/>
  <c r="O119" i="3"/>
  <c r="K119" i="3"/>
  <c r="J119" i="3"/>
  <c r="I119" i="3"/>
  <c r="BB118" i="3"/>
  <c r="BA118" i="3"/>
  <c r="AU118" i="3"/>
  <c r="AT118" i="3"/>
  <c r="AD118" i="3"/>
  <c r="AC118" i="3"/>
  <c r="W118" i="3"/>
  <c r="V118" i="3"/>
  <c r="O118" i="3"/>
  <c r="K118" i="3"/>
  <c r="J118" i="3"/>
  <c r="I118" i="3"/>
  <c r="BB117" i="3"/>
  <c r="BA117" i="3"/>
  <c r="AU117" i="3"/>
  <c r="AT117" i="3"/>
  <c r="AD117" i="3"/>
  <c r="AC117" i="3"/>
  <c r="W117" i="3"/>
  <c r="V117" i="3"/>
  <c r="O117" i="3"/>
  <c r="K117" i="3"/>
  <c r="J117" i="3"/>
  <c r="I117" i="3"/>
  <c r="BB116" i="3"/>
  <c r="BA116" i="3"/>
  <c r="AU116" i="3"/>
  <c r="AT116" i="3"/>
  <c r="AD116" i="3"/>
  <c r="AC116" i="3"/>
  <c r="W116" i="3"/>
  <c r="V116" i="3"/>
  <c r="O116" i="3"/>
  <c r="K116" i="3"/>
  <c r="J116" i="3"/>
  <c r="I116" i="3"/>
  <c r="BB115" i="3"/>
  <c r="BA115" i="3"/>
  <c r="AU115" i="3"/>
  <c r="AT115" i="3"/>
  <c r="AD115" i="3"/>
  <c r="AC115" i="3"/>
  <c r="W115" i="3"/>
  <c r="V115" i="3"/>
  <c r="O115" i="3"/>
  <c r="K115" i="3"/>
  <c r="J115" i="3"/>
  <c r="I115" i="3"/>
  <c r="BB114" i="3"/>
  <c r="BA114" i="3"/>
  <c r="AU114" i="3"/>
  <c r="AT114" i="3"/>
  <c r="AD114" i="3"/>
  <c r="AC114" i="3"/>
  <c r="W114" i="3"/>
  <c r="V114" i="3"/>
  <c r="O114" i="3"/>
  <c r="K114" i="3"/>
  <c r="J114" i="3"/>
  <c r="I114" i="3"/>
  <c r="BB113" i="3"/>
  <c r="BA113" i="3"/>
  <c r="AU113" i="3"/>
  <c r="AT113" i="3"/>
  <c r="AD113" i="3"/>
  <c r="AC113" i="3"/>
  <c r="W113" i="3"/>
  <c r="V113" i="3"/>
  <c r="O113" i="3"/>
  <c r="K113" i="3"/>
  <c r="J113" i="3"/>
  <c r="I113" i="3"/>
  <c r="BB112" i="3"/>
  <c r="BA112" i="3"/>
  <c r="AU112" i="3"/>
  <c r="AT112" i="3"/>
  <c r="AD112" i="3"/>
  <c r="AC112" i="3"/>
  <c r="W112" i="3"/>
  <c r="V112" i="3"/>
  <c r="O112" i="3"/>
  <c r="K112" i="3"/>
  <c r="J112" i="3"/>
  <c r="I112" i="3"/>
  <c r="BB98" i="3"/>
  <c r="BA98" i="3"/>
  <c r="AU98" i="3"/>
  <c r="AT98" i="3"/>
  <c r="AD98" i="3"/>
  <c r="AC98" i="3"/>
  <c r="W98" i="3"/>
  <c r="V98" i="3"/>
  <c r="O98" i="3"/>
  <c r="K98" i="3"/>
  <c r="J98" i="3"/>
  <c r="I98" i="3"/>
  <c r="BA97" i="3"/>
  <c r="AT97" i="3"/>
  <c r="AC97" i="3"/>
  <c r="V97" i="3"/>
  <c r="O97" i="3"/>
  <c r="K97" i="3"/>
  <c r="J97" i="3"/>
  <c r="I97" i="3"/>
  <c r="BA96" i="3"/>
  <c r="AT96" i="3"/>
  <c r="AC96" i="3"/>
  <c r="V96" i="3"/>
  <c r="O96" i="3"/>
  <c r="K96" i="3"/>
  <c r="J96" i="3"/>
  <c r="I96" i="3"/>
  <c r="BA95" i="3"/>
  <c r="AT95" i="3"/>
  <c r="AC95" i="3"/>
  <c r="V95" i="3"/>
  <c r="K95" i="3"/>
  <c r="J95" i="3"/>
  <c r="I95" i="3"/>
  <c r="BA94" i="3"/>
  <c r="AT94" i="3"/>
  <c r="AC94" i="3"/>
  <c r="V94" i="3"/>
  <c r="K94" i="3"/>
  <c r="J94" i="3"/>
  <c r="I94" i="3"/>
  <c r="BA93" i="3"/>
  <c r="AT93" i="3"/>
  <c r="AC93" i="3"/>
  <c r="V93" i="3"/>
  <c r="K93" i="3"/>
  <c r="J93" i="3"/>
  <c r="I93" i="3"/>
  <c r="BB53" i="3"/>
  <c r="BA53" i="3"/>
  <c r="AU53" i="3"/>
  <c r="AT53" i="3"/>
  <c r="AD53" i="3"/>
  <c r="AC53" i="3"/>
  <c r="V53" i="3"/>
  <c r="O53" i="3"/>
  <c r="K53" i="3"/>
  <c r="J53" i="3"/>
  <c r="BB52" i="3"/>
  <c r="BA52" i="3"/>
  <c r="AU52" i="3"/>
  <c r="AT52" i="3"/>
  <c r="AD52" i="3"/>
  <c r="AC52" i="3"/>
  <c r="O52" i="3"/>
  <c r="K52" i="3"/>
  <c r="J52" i="3"/>
  <c r="BB51" i="3"/>
  <c r="BA51" i="3"/>
  <c r="AU51" i="3"/>
  <c r="AT51" i="3"/>
  <c r="AD51" i="3"/>
  <c r="AC51" i="3"/>
  <c r="O51" i="3"/>
  <c r="K51" i="3"/>
  <c r="J51" i="3"/>
  <c r="BB50" i="3"/>
  <c r="BA50" i="3"/>
  <c r="AU50" i="3"/>
  <c r="AT50" i="3"/>
  <c r="AD50" i="3"/>
  <c r="AC50" i="3"/>
  <c r="O50" i="3"/>
  <c r="K50" i="3"/>
  <c r="J50" i="3"/>
  <c r="BB49" i="3"/>
  <c r="BA49" i="3"/>
  <c r="AU49" i="3"/>
  <c r="AT49" i="3"/>
  <c r="AD49" i="3"/>
  <c r="AC49" i="3"/>
  <c r="W49" i="3"/>
  <c r="V49" i="3"/>
  <c r="O49" i="3"/>
  <c r="K49" i="3"/>
  <c r="J49" i="3"/>
  <c r="BB48" i="3"/>
  <c r="BA48" i="3"/>
  <c r="AU48" i="3"/>
  <c r="AT48" i="3"/>
  <c r="AD48" i="3"/>
  <c r="AC48" i="3"/>
  <c r="W48" i="3"/>
  <c r="V48" i="3"/>
  <c r="O48" i="3"/>
  <c r="K48" i="3"/>
  <c r="J48" i="3"/>
  <c r="BA47" i="3"/>
  <c r="AT47" i="3"/>
  <c r="AC47" i="3"/>
  <c r="V47" i="3"/>
  <c r="O47" i="3"/>
  <c r="K47" i="3"/>
  <c r="J47" i="3"/>
  <c r="BA46" i="3"/>
  <c r="AT46" i="3"/>
  <c r="AC46" i="3"/>
  <c r="V46" i="3"/>
  <c r="O46" i="3"/>
  <c r="K46" i="3"/>
  <c r="J46" i="3"/>
  <c r="BA45" i="3"/>
  <c r="AT45" i="3"/>
  <c r="AC45" i="3"/>
  <c r="V45" i="3"/>
  <c r="O45" i="3"/>
  <c r="K45" i="3"/>
  <c r="J45" i="3"/>
  <c r="BB44" i="3"/>
  <c r="BA44" i="3"/>
  <c r="AU44" i="3"/>
  <c r="AT44" i="3"/>
  <c r="AD44" i="3"/>
  <c r="AC44" i="3"/>
  <c r="W44" i="3"/>
  <c r="V44" i="3"/>
  <c r="O44" i="3"/>
  <c r="K44" i="3"/>
  <c r="J44" i="3"/>
  <c r="BB43" i="3"/>
  <c r="BA43" i="3"/>
  <c r="AU43" i="3"/>
  <c r="AT43" i="3"/>
  <c r="AD43" i="3"/>
  <c r="AC43" i="3"/>
  <c r="W43" i="3"/>
  <c r="V43" i="3"/>
  <c r="O43" i="3"/>
  <c r="K43" i="3"/>
  <c r="J43" i="3"/>
  <c r="BB42" i="3"/>
  <c r="BA42" i="3"/>
  <c r="AU42" i="3"/>
  <c r="AT42" i="3"/>
  <c r="AD42" i="3"/>
  <c r="AC42" i="3"/>
  <c r="W42" i="3"/>
  <c r="V42" i="3"/>
  <c r="O42" i="3"/>
  <c r="K42" i="3"/>
  <c r="J42" i="3"/>
  <c r="BB41" i="3"/>
  <c r="BA41" i="3"/>
  <c r="AU41" i="3"/>
  <c r="AT41" i="3"/>
  <c r="AD41" i="3"/>
  <c r="AC41" i="3"/>
  <c r="W41" i="3"/>
  <c r="V41" i="3"/>
  <c r="O41" i="3"/>
  <c r="K41" i="3"/>
  <c r="J41" i="3"/>
  <c r="BT246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岡野創</author>
    <author>Yamazaki</author>
  </authors>
  <commentList>
    <comment ref="BG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岡野創:要意味確認</t>
        </r>
      </text>
    </comment>
    <comment ref="AC6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岡野創:</t>
        </r>
        <r>
          <rPr>
            <sz val="9"/>
            <color indexed="81"/>
            <rFont val="MS P ゴシック"/>
            <family val="3"/>
            <charset val="128"/>
          </rPr>
          <t xml:space="preserve">
記載がないことから，論文４のφ9SR24</t>
        </r>
      </text>
    </comment>
    <comment ref="B7" authorId="1" shapeId="0" xr:uid="{8174ABFC-C884-470A-8A0D-A9530B6AF35B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片押しになってる？
</t>
        </r>
      </text>
    </comment>
    <comment ref="B10" authorId="1" shapeId="0" xr:uid="{8E912642-B145-4E6F-98B2-A014D69D5378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梁集中配筋のため
</t>
        </r>
      </text>
    </comment>
    <comment ref="G21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岡野創:</t>
        </r>
        <r>
          <rPr>
            <sz val="9"/>
            <color indexed="81"/>
            <rFont val="MS P ゴシック"/>
            <family val="3"/>
            <charset val="128"/>
          </rPr>
          <t xml:space="preserve">
曲げ強度に達してない
内側で降伏している
→J型？</t>
        </r>
      </text>
    </comment>
    <comment ref="B27" authorId="1" shapeId="0" xr:uid="{A60CEBFE-A863-4E4A-807F-BBD748209B33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ほぼy軸
読み取れず</t>
        </r>
      </text>
    </comment>
    <comment ref="G28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岡野創:</t>
        </r>
        <r>
          <rPr>
            <sz val="9"/>
            <color indexed="81"/>
            <rFont val="MS P ゴシック"/>
            <family val="3"/>
            <charset val="128"/>
          </rPr>
          <t xml:space="preserve">
３試験体ともに，接合部ストラット圧壊の記述あり</t>
        </r>
      </text>
    </comment>
    <comment ref="B34" authorId="1" shapeId="0" xr:uid="{392AE656-B907-49DC-BDEF-ED054C6E9552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配筋図の読み取り△
</t>
        </r>
      </text>
    </comment>
    <comment ref="G34" authorId="1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塩原BJ</t>
        </r>
      </text>
    </comment>
    <comment ref="B35" authorId="1" shapeId="0" xr:uid="{BDF20EC1-9570-4EFA-8218-6499F714D21F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4,7 Qdあり
あとはない</t>
        </r>
      </text>
    </comment>
    <comment ref="C35" authorId="1" shapeId="0" xr:uid="{235AB27C-C77F-468B-8F35-E7141AFA398C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柱、
ープが二つの鉄筋</t>
        </r>
      </text>
    </comment>
    <comment ref="L35" authorId="1" shapeId="0" xr:uid="{02105A9C-9907-43E5-9BE6-A88DC43C1469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続報より
</t>
        </r>
      </text>
    </comment>
    <comment ref="AV35" authorId="1" shapeId="0" xr:uid="{00000000-0006-0000-0000-000007000000}">
      <text>
        <r>
          <rPr>
            <sz val="9"/>
            <color indexed="81"/>
            <rFont val="MS P ゴシック"/>
            <family val="3"/>
            <charset val="128"/>
          </rPr>
          <t>周りと八角形で違う種類</t>
        </r>
      </text>
    </comment>
    <comment ref="B36" authorId="1" shapeId="0" xr:uid="{1AC93417-0124-476F-A9E6-7C70C98FD2CF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接合部
二種類の鉄筋</t>
        </r>
      </text>
    </comment>
    <comment ref="V49" authorId="1" shapeId="0" xr:uid="{3FDC7FF8-2FCF-4558-B095-C5429C3F28E5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HD13ないためHD16で代用</t>
        </r>
      </text>
    </comment>
    <comment ref="C54" authorId="1" shapeId="0" xr:uid="{36FAA8BC-3A5D-4F60-B089-FB3744049A74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Yamazaki:
フープなし
</t>
        </r>
      </text>
    </comment>
    <comment ref="G56" authorId="1" shapeId="0" xr:uid="{00000000-0006-0000-0000-00000A000000}">
      <text>
        <r>
          <rPr>
            <sz val="9"/>
            <color indexed="81"/>
            <rFont val="MS P ゴシック"/>
            <family val="3"/>
            <charset val="128"/>
          </rPr>
          <t>塩原J1 BJ2</t>
        </r>
      </text>
    </comment>
    <comment ref="B57" authorId="1" shapeId="0" xr:uid="{9246724E-0532-4348-BCDF-3EA5C5E4D1E5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2
</t>
        </r>
      </text>
    </comment>
    <comment ref="C60" authorId="1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Qの求め方が不明</t>
        </r>
      </text>
    </comment>
    <comment ref="B67" authorId="1" shapeId="0" xr:uid="{3D523AC6-2F3F-44BD-8E90-18D8019F85B5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梁、柱の
フープ筋なし
</t>
        </r>
      </text>
    </comment>
    <comment ref="C89" authorId="1" shapeId="0" xr:uid="{58465CB1-484B-4A3E-900F-12FA2166225F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梁補強筋が不明</t>
        </r>
      </text>
    </comment>
    <comment ref="AG144" authorId="1" shapeId="0" xr:uid="{00000000-0006-0000-0000-00000F000000}">
      <text>
        <r>
          <rPr>
            <sz val="9"/>
            <color indexed="81"/>
            <rFont val="MS P ゴシック"/>
            <family val="3"/>
            <charset val="128"/>
          </rPr>
          <t>3段目？</t>
        </r>
      </text>
    </comment>
    <comment ref="C147" authorId="1" shapeId="0" xr:uid="{00000000-0006-0000-0000-000010000000}">
      <text>
        <r>
          <rPr>
            <sz val="9"/>
            <color indexed="81"/>
            <rFont val="MS P ゴシック"/>
            <family val="3"/>
            <charset val="128"/>
          </rPr>
          <t>塩原では1体
I1は論文24で登場
だが、コンクリート圧縮強度が異なる</t>
        </r>
      </text>
    </comment>
    <comment ref="AC178" authorId="1" shapeId="0" xr:uid="{41B0C04C-012C-4F7A-940C-EB4679632D41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U11.2の値が入ってる
U9.2の値記載なし</t>
        </r>
      </text>
    </comment>
    <comment ref="B205" authorId="1" shapeId="0" xr:uid="{58A5584D-C29F-40C2-82A0-96B9B4BB6744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不明
・コンクリート強度
・スパン階高</t>
        </r>
      </text>
    </comment>
    <comment ref="G205" authorId="1" shapeId="0" xr:uid="{00000000-0006-0000-0000-000011000000}">
      <text>
        <r>
          <rPr>
            <sz val="9"/>
            <color indexed="81"/>
            <rFont val="MS P ゴシック"/>
            <family val="3"/>
            <charset val="128"/>
          </rPr>
          <t>塩原　BJ
典型的なJ破壊と記述</t>
        </r>
      </text>
    </comment>
    <comment ref="C224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梁主筋特殊（sin)
</t>
        </r>
      </text>
    </comment>
    <comment ref="B274" authorId="1" shapeId="0" xr:uid="{3DFAD66B-3B68-4AEC-AED9-3E59215C7EFC}">
      <text>
        <r>
          <rPr>
            <b/>
            <sz val="9"/>
            <color indexed="81"/>
            <rFont val="MS P ゴシック"/>
            <family val="3"/>
            <charset val="128"/>
          </rPr>
          <t>Yamazaki:</t>
        </r>
        <r>
          <rPr>
            <sz val="9"/>
            <color indexed="81"/>
            <rFont val="MS P ゴシック"/>
            <family val="3"/>
            <charset val="128"/>
          </rPr>
          <t xml:space="preserve">
不明
・梁主筋
・梁位置情報
・柱位置情報
・接合部横補強筋</t>
        </r>
      </text>
    </comment>
    <comment ref="C274" authorId="1" shapeId="0" xr:uid="{00000000-0006-0000-0000-000013000000}">
      <text>
        <r>
          <rPr>
            <sz val="9"/>
            <color indexed="81"/>
            <rFont val="MS P ゴシック"/>
            <family val="3"/>
            <charset val="128"/>
          </rPr>
          <t>梁主筋・種類本数
柱梁補強筋強度</t>
        </r>
      </text>
    </comment>
    <comment ref="G274" authorId="1" shapeId="0" xr:uid="{00000000-0006-0000-0000-000014000000}">
      <text>
        <r>
          <rPr>
            <sz val="9"/>
            <color indexed="81"/>
            <rFont val="MS P ゴシック"/>
            <family val="3"/>
            <charset val="128"/>
          </rPr>
          <t>接合部破壊→J
塩原→BJ</t>
        </r>
      </text>
    </comment>
  </commentList>
</comments>
</file>

<file path=xl/sharedStrings.xml><?xml version="1.0" encoding="utf-8"?>
<sst xmlns="http://schemas.openxmlformats.org/spreadsheetml/2006/main" count="3887" uniqueCount="972">
  <si>
    <t>論文番号</t>
    <rPh sb="0" eb="2">
      <t>ロンブン</t>
    </rPh>
    <rPh sb="2" eb="4">
      <t>バンゴウ</t>
    </rPh>
    <phoneticPr fontId="2"/>
  </si>
  <si>
    <t>著者</t>
    <rPh sb="0" eb="2">
      <t>チョシャ</t>
    </rPh>
    <phoneticPr fontId="2"/>
  </si>
  <si>
    <t>年度</t>
    <rPh sb="0" eb="2">
      <t>ネンド</t>
    </rPh>
    <phoneticPr fontId="2"/>
  </si>
  <si>
    <t>大会</t>
    <rPh sb="0" eb="2">
      <t>タイカイ</t>
    </rPh>
    <phoneticPr fontId="2"/>
  </si>
  <si>
    <t>断面積</t>
    <rPh sb="0" eb="3">
      <t>ダンメンセキ</t>
    </rPh>
    <phoneticPr fontId="2"/>
  </si>
  <si>
    <t>降伏強度</t>
    <rPh sb="0" eb="2">
      <t>コウフク</t>
    </rPh>
    <rPh sb="2" eb="4">
      <t>キョウド</t>
    </rPh>
    <phoneticPr fontId="2"/>
  </si>
  <si>
    <t>ヤング係数</t>
    <rPh sb="3" eb="5">
      <t>ケイスウ</t>
    </rPh>
    <phoneticPr fontId="2"/>
  </si>
  <si>
    <t>N/㎟</t>
    <phoneticPr fontId="2"/>
  </si>
  <si>
    <t>kN/㎟</t>
    <phoneticPr fontId="2"/>
  </si>
  <si>
    <t>帯筋</t>
    <rPh sb="0" eb="2">
      <t>オビキン</t>
    </rPh>
    <phoneticPr fontId="2"/>
  </si>
  <si>
    <t>間隔</t>
    <rPh sb="0" eb="2">
      <t>カンカク</t>
    </rPh>
    <phoneticPr fontId="2"/>
  </si>
  <si>
    <t>本数</t>
    <rPh sb="0" eb="2">
      <t>ホンスウ</t>
    </rPh>
    <phoneticPr fontId="2"/>
  </si>
  <si>
    <t>公称径</t>
    <rPh sb="0" eb="2">
      <t>コウショウ</t>
    </rPh>
    <rPh sb="2" eb="3">
      <t>ケイ</t>
    </rPh>
    <phoneticPr fontId="2"/>
  </si>
  <si>
    <t>柱補強筋</t>
    <rPh sb="0" eb="1">
      <t>ハシラ</t>
    </rPh>
    <rPh sb="1" eb="4">
      <t>ホキョウキン</t>
    </rPh>
    <phoneticPr fontId="2"/>
  </si>
  <si>
    <t>位置</t>
    <rPh sb="0" eb="2">
      <t>イチ</t>
    </rPh>
    <phoneticPr fontId="2"/>
  </si>
  <si>
    <t>一段目
本数</t>
    <rPh sb="0" eb="3">
      <t>イチダンメ</t>
    </rPh>
    <rPh sb="4" eb="6">
      <t>ホンスウ</t>
    </rPh>
    <phoneticPr fontId="2"/>
  </si>
  <si>
    <t>二段目
本数</t>
    <rPh sb="0" eb="3">
      <t>ニダンメ</t>
    </rPh>
    <rPh sb="4" eb="6">
      <t>ホンスウ</t>
    </rPh>
    <phoneticPr fontId="2"/>
  </si>
  <si>
    <t>一からの
位置</t>
    <rPh sb="0" eb="1">
      <t>イチ</t>
    </rPh>
    <rPh sb="5" eb="7">
      <t>イチ</t>
    </rPh>
    <phoneticPr fontId="2"/>
  </si>
  <si>
    <t>下から
の位置</t>
    <rPh sb="0" eb="1">
      <t>シタ</t>
    </rPh>
    <rPh sb="5" eb="7">
      <t>イチ</t>
    </rPh>
    <phoneticPr fontId="2"/>
  </si>
  <si>
    <t>鉄筋中心
までの幅</t>
    <rPh sb="0" eb="2">
      <t>テッキン</t>
    </rPh>
    <rPh sb="2" eb="4">
      <t>チュウシン</t>
    </rPh>
    <rPh sb="8" eb="9">
      <t>ハバ</t>
    </rPh>
    <phoneticPr fontId="2"/>
  </si>
  <si>
    <t>中段筋
本数</t>
    <rPh sb="0" eb="2">
      <t>チュウダン</t>
    </rPh>
    <rPh sb="2" eb="3">
      <t>キン</t>
    </rPh>
    <rPh sb="4" eb="6">
      <t>ホンスウ</t>
    </rPh>
    <phoneticPr fontId="2"/>
  </si>
  <si>
    <t>柱位置情報</t>
    <rPh sb="0" eb="1">
      <t>ハシラ</t>
    </rPh>
    <rPh sb="1" eb="3">
      <t>イチ</t>
    </rPh>
    <rPh sb="3" eb="5">
      <t>ジョウホウ</t>
    </rPh>
    <phoneticPr fontId="2"/>
  </si>
  <si>
    <t>柱</t>
    <rPh sb="0" eb="1">
      <t>ハシラ</t>
    </rPh>
    <phoneticPr fontId="2"/>
  </si>
  <si>
    <t>接合部</t>
    <rPh sb="0" eb="2">
      <t>セツゴウ</t>
    </rPh>
    <rPh sb="2" eb="3">
      <t>ブ</t>
    </rPh>
    <phoneticPr fontId="2"/>
  </si>
  <si>
    <t>形状</t>
    <rPh sb="0" eb="2">
      <t>ケイジョウ</t>
    </rPh>
    <phoneticPr fontId="2"/>
  </si>
  <si>
    <t>段数</t>
    <rPh sb="0" eb="2">
      <t>ダンスウ</t>
    </rPh>
    <phoneticPr fontId="2"/>
  </si>
  <si>
    <t>斎藤 他</t>
    <rPh sb="0" eb="2">
      <t>サイトウ</t>
    </rPh>
    <rPh sb="3" eb="4">
      <t>ホカ</t>
    </rPh>
    <phoneticPr fontId="1"/>
  </si>
  <si>
    <t>AIJ大会</t>
    <rPh sb="3" eb="5">
      <t>タイカイ</t>
    </rPh>
    <phoneticPr fontId="1"/>
  </si>
  <si>
    <t>田中 他</t>
    <rPh sb="0" eb="2">
      <t>タナカ</t>
    </rPh>
    <rPh sb="3" eb="4">
      <t>ホカ</t>
    </rPh>
    <phoneticPr fontId="1"/>
  </si>
  <si>
    <t>園部 他</t>
    <rPh sb="0" eb="2">
      <t>ソノベ</t>
    </rPh>
    <rPh sb="3" eb="4">
      <t>ホカ</t>
    </rPh>
    <phoneticPr fontId="1"/>
  </si>
  <si>
    <t>季刊カラム</t>
    <rPh sb="0" eb="2">
      <t>キカン</t>
    </rPh>
    <phoneticPr fontId="1"/>
  </si>
  <si>
    <t>浜田 他</t>
    <rPh sb="0" eb="2">
      <t>ハマダ</t>
    </rPh>
    <rPh sb="3" eb="4">
      <t>ホカ</t>
    </rPh>
    <phoneticPr fontId="1"/>
  </si>
  <si>
    <t>小林 他</t>
    <rPh sb="0" eb="2">
      <t>コバヤシ</t>
    </rPh>
    <rPh sb="3" eb="4">
      <t>ホカ</t>
    </rPh>
    <phoneticPr fontId="1"/>
  </si>
  <si>
    <t>JCI年次</t>
    <rPh sb="3" eb="5">
      <t>ネンジ</t>
    </rPh>
    <phoneticPr fontId="1"/>
  </si>
  <si>
    <t>野口 他</t>
    <rPh sb="0" eb="2">
      <t>ノグチ</t>
    </rPh>
    <rPh sb="3" eb="4">
      <t>ホカ</t>
    </rPh>
    <phoneticPr fontId="1"/>
  </si>
  <si>
    <t>北山 他</t>
    <rPh sb="0" eb="2">
      <t>キタヤマ</t>
    </rPh>
    <rPh sb="3" eb="4">
      <t>ホカ</t>
    </rPh>
    <phoneticPr fontId="1"/>
  </si>
  <si>
    <t>大塚 他</t>
    <rPh sb="0" eb="2">
      <t>オオツカ</t>
    </rPh>
    <rPh sb="3" eb="4">
      <t>ホカ</t>
    </rPh>
    <phoneticPr fontId="1"/>
  </si>
  <si>
    <t>林 他</t>
    <rPh sb="0" eb="1">
      <t>ハヤシ</t>
    </rPh>
    <rPh sb="2" eb="3">
      <t>ホカ</t>
    </rPh>
    <phoneticPr fontId="1"/>
  </si>
  <si>
    <t>後藤 他</t>
    <rPh sb="0" eb="2">
      <t>ゴトウ</t>
    </rPh>
    <rPh sb="3" eb="4">
      <t>ホカ</t>
    </rPh>
    <phoneticPr fontId="1"/>
  </si>
  <si>
    <t>D16</t>
  </si>
  <si>
    <t>D6</t>
  </si>
  <si>
    <t>上村 他</t>
    <rPh sb="0" eb="2">
      <t>ウエムラ</t>
    </rPh>
    <rPh sb="3" eb="4">
      <t>ホカ</t>
    </rPh>
    <phoneticPr fontId="1"/>
  </si>
  <si>
    <t>渡辺 他</t>
    <rPh sb="0" eb="2">
      <t>ワタナベ</t>
    </rPh>
    <rPh sb="3" eb="4">
      <t>ホカ</t>
    </rPh>
    <phoneticPr fontId="1"/>
  </si>
  <si>
    <t>AIJ論報</t>
    <rPh sb="3" eb="4">
      <t>ロン</t>
    </rPh>
    <rPh sb="4" eb="5">
      <t>ホウ</t>
    </rPh>
    <phoneticPr fontId="1"/>
  </si>
  <si>
    <t>河口 他</t>
    <rPh sb="0" eb="2">
      <t>カワクチ</t>
    </rPh>
    <rPh sb="3" eb="4">
      <t>ホカ</t>
    </rPh>
    <phoneticPr fontId="1"/>
  </si>
  <si>
    <t>寺岡 他</t>
    <rPh sb="0" eb="2">
      <t>テラオカ</t>
    </rPh>
    <rPh sb="3" eb="4">
      <t>ホカ</t>
    </rPh>
    <phoneticPr fontId="1"/>
  </si>
  <si>
    <t>菊田 他</t>
    <rPh sb="0" eb="2">
      <t>キクタ</t>
    </rPh>
    <rPh sb="3" eb="4">
      <t>ホカ</t>
    </rPh>
    <phoneticPr fontId="1"/>
  </si>
  <si>
    <t>石川 他</t>
    <rPh sb="0" eb="2">
      <t>イシカワ</t>
    </rPh>
    <rPh sb="3" eb="4">
      <t>ホカ</t>
    </rPh>
    <phoneticPr fontId="1"/>
  </si>
  <si>
    <t>藤井 他</t>
    <rPh sb="0" eb="2">
      <t>フジイ</t>
    </rPh>
    <rPh sb="3" eb="4">
      <t>ホカ</t>
    </rPh>
    <phoneticPr fontId="1"/>
  </si>
  <si>
    <t>塩原 他</t>
    <rPh sb="0" eb="2">
      <t>シオハラ</t>
    </rPh>
    <rPh sb="3" eb="4">
      <t>ホカ</t>
    </rPh>
    <phoneticPr fontId="1"/>
  </si>
  <si>
    <t>井上 他</t>
    <rPh sb="0" eb="2">
      <t>イノウエ</t>
    </rPh>
    <rPh sb="3" eb="4">
      <t>ホカ</t>
    </rPh>
    <phoneticPr fontId="1"/>
  </si>
  <si>
    <t>柏崎 他</t>
    <rPh sb="0" eb="2">
      <t>カシワサキ</t>
    </rPh>
    <rPh sb="3" eb="4">
      <t>ホカ</t>
    </rPh>
    <phoneticPr fontId="1"/>
  </si>
  <si>
    <t>李 他</t>
    <rPh sb="0" eb="1">
      <t>イ</t>
    </rPh>
    <rPh sb="2" eb="3">
      <t>ホカ</t>
    </rPh>
    <phoneticPr fontId="1"/>
  </si>
  <si>
    <t>遠藤 他</t>
    <rPh sb="0" eb="2">
      <t>エンドウ</t>
    </rPh>
    <rPh sb="3" eb="4">
      <t>ホカ</t>
    </rPh>
    <phoneticPr fontId="1"/>
  </si>
  <si>
    <t>角 他</t>
    <rPh sb="0" eb="1">
      <t>ツノ</t>
    </rPh>
    <rPh sb="2" eb="3">
      <t>ホカ</t>
    </rPh>
    <phoneticPr fontId="1"/>
  </si>
  <si>
    <t>川崎 他</t>
    <rPh sb="0" eb="2">
      <t>カワサキ</t>
    </rPh>
    <rPh sb="3" eb="4">
      <t>ホカ</t>
    </rPh>
    <phoneticPr fontId="1"/>
  </si>
  <si>
    <t>U5.1</t>
  </si>
  <si>
    <t>D19</t>
  </si>
  <si>
    <t>中村 他</t>
    <rPh sb="0" eb="2">
      <t>ナカムラ</t>
    </rPh>
    <rPh sb="3" eb="4">
      <t>ホカ</t>
    </rPh>
    <phoneticPr fontId="1"/>
  </si>
  <si>
    <t>神野 他</t>
    <rPh sb="0" eb="2">
      <t>カミノ</t>
    </rPh>
    <rPh sb="3" eb="4">
      <t>ホカ</t>
    </rPh>
    <phoneticPr fontId="1"/>
  </si>
  <si>
    <t>岡 他</t>
    <rPh sb="0" eb="1">
      <t>オカ</t>
    </rPh>
    <rPh sb="2" eb="3">
      <t>ホカ</t>
    </rPh>
    <phoneticPr fontId="1"/>
  </si>
  <si>
    <t>竹崎 他</t>
    <rPh sb="0" eb="2">
      <t>タケサキ</t>
    </rPh>
    <rPh sb="3" eb="4">
      <t>ホカ</t>
    </rPh>
    <phoneticPr fontId="1"/>
  </si>
  <si>
    <t>D13</t>
  </si>
  <si>
    <t>SD30</t>
  </si>
  <si>
    <t>AIJ関東</t>
    <rPh sb="3" eb="5">
      <t>カントウ</t>
    </rPh>
    <phoneticPr fontId="1"/>
  </si>
  <si>
    <t>柏崎 他</t>
    <rPh sb="0" eb="2">
      <t>カシワザキ</t>
    </rPh>
    <rPh sb="3" eb="4">
      <t>ホカ</t>
    </rPh>
    <phoneticPr fontId="1"/>
  </si>
  <si>
    <t>青山 他</t>
    <rPh sb="0" eb="2">
      <t>アオヤマ</t>
    </rPh>
    <rPh sb="3" eb="4">
      <t>ホカ</t>
    </rPh>
    <phoneticPr fontId="1"/>
  </si>
  <si>
    <t>富岡 他</t>
    <rPh sb="0" eb="2">
      <t>トミオカ</t>
    </rPh>
    <rPh sb="3" eb="4">
      <t>ホカ</t>
    </rPh>
    <phoneticPr fontId="1"/>
  </si>
  <si>
    <t>松本 他</t>
    <rPh sb="0" eb="2">
      <t>マツモト</t>
    </rPh>
    <rPh sb="3" eb="4">
      <t>ホカ</t>
    </rPh>
    <phoneticPr fontId="1"/>
  </si>
  <si>
    <t>池谷 他</t>
    <rPh sb="0" eb="2">
      <t>イケタニ</t>
    </rPh>
    <rPh sb="3" eb="4">
      <t>ホカ</t>
    </rPh>
    <phoneticPr fontId="1"/>
  </si>
  <si>
    <t>寺内 他</t>
    <rPh sb="0" eb="2">
      <t>テラウチ</t>
    </rPh>
    <rPh sb="3" eb="4">
      <t>ホカ</t>
    </rPh>
    <phoneticPr fontId="1"/>
  </si>
  <si>
    <t>瀬口 他</t>
    <rPh sb="0" eb="2">
      <t>セグチ</t>
    </rPh>
    <rPh sb="3" eb="4">
      <t>ホカ</t>
    </rPh>
    <phoneticPr fontId="1"/>
  </si>
  <si>
    <t>小田 他</t>
    <rPh sb="0" eb="2">
      <t>オダ</t>
    </rPh>
    <rPh sb="3" eb="4">
      <t>ホカ</t>
    </rPh>
    <phoneticPr fontId="1"/>
  </si>
  <si>
    <t>河合 他</t>
    <rPh sb="0" eb="2">
      <t>カワイ</t>
    </rPh>
    <rPh sb="3" eb="4">
      <t>ホカ</t>
    </rPh>
    <phoneticPr fontId="1"/>
  </si>
  <si>
    <t>武田 他</t>
    <rPh sb="0" eb="2">
      <t>タケダ</t>
    </rPh>
    <rPh sb="3" eb="4">
      <t>ホカ</t>
    </rPh>
    <phoneticPr fontId="1"/>
  </si>
  <si>
    <t>細矢 他</t>
    <rPh sb="0" eb="2">
      <t>ホソヤ</t>
    </rPh>
    <rPh sb="3" eb="4">
      <t>ホカ</t>
    </rPh>
    <phoneticPr fontId="1"/>
  </si>
  <si>
    <t>SD345</t>
  </si>
  <si>
    <t>立石 他</t>
    <rPh sb="0" eb="2">
      <t>タテイシ</t>
    </rPh>
    <rPh sb="3" eb="4">
      <t>ホカ</t>
    </rPh>
    <phoneticPr fontId="1"/>
  </si>
  <si>
    <t>森田 他</t>
    <rPh sb="0" eb="2">
      <t>モリタ</t>
    </rPh>
    <rPh sb="3" eb="4">
      <t>ホカ</t>
    </rPh>
    <phoneticPr fontId="1"/>
  </si>
  <si>
    <t>石田 他</t>
    <rPh sb="0" eb="2">
      <t>イシダ</t>
    </rPh>
    <rPh sb="3" eb="4">
      <t>ホカ</t>
    </rPh>
    <phoneticPr fontId="1"/>
  </si>
  <si>
    <t>原 他</t>
    <rPh sb="0" eb="1">
      <t>ハラ</t>
    </rPh>
    <rPh sb="2" eb="3">
      <t>ホカ</t>
    </rPh>
    <phoneticPr fontId="1"/>
  </si>
  <si>
    <t>植木 他</t>
    <rPh sb="0" eb="2">
      <t>ウエキ</t>
    </rPh>
    <rPh sb="3" eb="4">
      <t>ホカ</t>
    </rPh>
    <phoneticPr fontId="1"/>
  </si>
  <si>
    <t>中澤 他</t>
    <rPh sb="0" eb="2">
      <t>ナカザワ</t>
    </rPh>
    <rPh sb="3" eb="4">
      <t>ホカ</t>
    </rPh>
    <phoneticPr fontId="1"/>
  </si>
  <si>
    <t>工藤 他</t>
    <rPh sb="0" eb="2">
      <t>クドウ</t>
    </rPh>
    <rPh sb="3" eb="4">
      <t>ホカ</t>
    </rPh>
    <phoneticPr fontId="1"/>
  </si>
  <si>
    <t>J</t>
  </si>
  <si>
    <t>01-E00</t>
  </si>
  <si>
    <t>01-RN</t>
  </si>
  <si>
    <t>01-RA</t>
  </si>
  <si>
    <t>鈴木 他</t>
    <rPh sb="0" eb="2">
      <t>スズキ</t>
    </rPh>
    <rPh sb="3" eb="4">
      <t>ホカ</t>
    </rPh>
    <phoneticPr fontId="1"/>
  </si>
  <si>
    <t>鈴木亭 他</t>
    <rPh sb="0" eb="2">
      <t>スズキ</t>
    </rPh>
    <rPh sb="2" eb="3">
      <t>テイ</t>
    </rPh>
    <rPh sb="4" eb="5">
      <t>ホカ</t>
    </rPh>
    <phoneticPr fontId="1"/>
  </si>
  <si>
    <t>近藤 他</t>
    <rPh sb="0" eb="2">
      <t>コンドウ</t>
    </rPh>
    <rPh sb="3" eb="4">
      <t>ホカ</t>
    </rPh>
    <phoneticPr fontId="1"/>
  </si>
  <si>
    <t>東川 他</t>
    <rPh sb="0" eb="2">
      <t>ヒガシカワ</t>
    </rPh>
    <rPh sb="3" eb="4">
      <t>ホカ</t>
    </rPh>
    <phoneticPr fontId="1"/>
  </si>
  <si>
    <t>滝本博康 他</t>
    <rPh sb="0" eb="2">
      <t>タキモト</t>
    </rPh>
    <rPh sb="2" eb="4">
      <t>ヒロヤス</t>
    </rPh>
    <rPh sb="5" eb="6">
      <t>ホカ</t>
    </rPh>
    <phoneticPr fontId="1"/>
  </si>
  <si>
    <t>中澤春生 他</t>
    <rPh sb="0" eb="2">
      <t>ナカザワ</t>
    </rPh>
    <rPh sb="2" eb="4">
      <t>ハルオ</t>
    </rPh>
    <rPh sb="5" eb="6">
      <t>ホカ</t>
    </rPh>
    <phoneticPr fontId="1"/>
  </si>
  <si>
    <t>岩岡信一 他</t>
    <rPh sb="0" eb="2">
      <t>イワオカ</t>
    </rPh>
    <rPh sb="2" eb="4">
      <t>シンイチ</t>
    </rPh>
    <rPh sb="5" eb="6">
      <t>ホカ</t>
    </rPh>
    <phoneticPr fontId="1"/>
  </si>
  <si>
    <t>木村正人 他</t>
    <rPh sb="0" eb="2">
      <t>キムラ</t>
    </rPh>
    <rPh sb="2" eb="4">
      <t>マサト</t>
    </rPh>
    <rPh sb="5" eb="6">
      <t>ホカ</t>
    </rPh>
    <phoneticPr fontId="1"/>
  </si>
  <si>
    <t>細矢博 他</t>
    <rPh sb="0" eb="2">
      <t>ホソヤ</t>
    </rPh>
    <rPh sb="2" eb="3">
      <t>ヒロシ</t>
    </rPh>
    <rPh sb="4" eb="5">
      <t>ホカ</t>
    </rPh>
    <phoneticPr fontId="1"/>
  </si>
  <si>
    <t>前田祥三 他</t>
    <rPh sb="0" eb="2">
      <t>マエダ</t>
    </rPh>
    <rPh sb="2" eb="4">
      <t>ショウゾウ</t>
    </rPh>
    <rPh sb="5" eb="6">
      <t>ホカ</t>
    </rPh>
    <phoneticPr fontId="1"/>
  </si>
  <si>
    <t>増田安彦 他</t>
    <rPh sb="0" eb="2">
      <t>マスダ</t>
    </rPh>
    <rPh sb="2" eb="4">
      <t>ヤスヒコ</t>
    </rPh>
    <rPh sb="5" eb="6">
      <t>ホカ</t>
    </rPh>
    <phoneticPr fontId="1"/>
  </si>
  <si>
    <t>太田俊也 他</t>
    <rPh sb="0" eb="2">
      <t>オオタ</t>
    </rPh>
    <rPh sb="2" eb="4">
      <t>トシヤ</t>
    </rPh>
    <rPh sb="5" eb="6">
      <t>ホカ</t>
    </rPh>
    <phoneticPr fontId="1"/>
  </si>
  <si>
    <t>宮下剛士 他</t>
    <rPh sb="0" eb="2">
      <t>ミヤシタ</t>
    </rPh>
    <rPh sb="2" eb="4">
      <t>ツヨシ</t>
    </rPh>
    <rPh sb="5" eb="6">
      <t>ホカ</t>
    </rPh>
    <phoneticPr fontId="1"/>
  </si>
  <si>
    <t>増田 他</t>
    <rPh sb="0" eb="2">
      <t>マスダ</t>
    </rPh>
    <rPh sb="3" eb="4">
      <t>ホカ</t>
    </rPh>
    <phoneticPr fontId="1"/>
  </si>
  <si>
    <t>上甲 他</t>
    <rPh sb="0" eb="1">
      <t>ウエ</t>
    </rPh>
    <rPh sb="1" eb="2">
      <t>コウ</t>
    </rPh>
    <rPh sb="3" eb="4">
      <t>ホカ</t>
    </rPh>
    <phoneticPr fontId="1"/>
  </si>
  <si>
    <t>原孝文 他</t>
    <rPh sb="0" eb="1">
      <t>ハラ</t>
    </rPh>
    <rPh sb="1" eb="3">
      <t>タカフミ</t>
    </rPh>
    <rPh sb="4" eb="5">
      <t>ホカ</t>
    </rPh>
    <phoneticPr fontId="1"/>
  </si>
  <si>
    <t>No.2</t>
  </si>
  <si>
    <t>No.3</t>
  </si>
  <si>
    <t>No.4</t>
  </si>
  <si>
    <t>No.5</t>
  </si>
  <si>
    <t>No.6</t>
  </si>
  <si>
    <t>澤田和宏 他</t>
    <rPh sb="0" eb="2">
      <t>サワダ</t>
    </rPh>
    <rPh sb="2" eb="4">
      <t>カズヒロ</t>
    </rPh>
    <rPh sb="5" eb="6">
      <t>ホカ</t>
    </rPh>
    <phoneticPr fontId="1"/>
  </si>
  <si>
    <t>森浩二 他</t>
    <rPh sb="0" eb="1">
      <t>モリ</t>
    </rPh>
    <rPh sb="1" eb="3">
      <t>コウジ</t>
    </rPh>
    <rPh sb="4" eb="5">
      <t>ホカ</t>
    </rPh>
    <phoneticPr fontId="1"/>
  </si>
  <si>
    <t>新上浩 他</t>
    <rPh sb="0" eb="1">
      <t>シン</t>
    </rPh>
    <rPh sb="1" eb="2">
      <t>カミ</t>
    </rPh>
    <rPh sb="2" eb="3">
      <t>ヒロシ</t>
    </rPh>
    <rPh sb="4" eb="5">
      <t>ホカ</t>
    </rPh>
    <phoneticPr fontId="1"/>
  </si>
  <si>
    <t>上原 他</t>
    <rPh sb="0" eb="2">
      <t>ウエハラ</t>
    </rPh>
    <rPh sb="3" eb="4">
      <t>ホカ</t>
    </rPh>
    <phoneticPr fontId="1"/>
  </si>
  <si>
    <t>祐本 他</t>
    <rPh sb="0" eb="1">
      <t>スケ</t>
    </rPh>
    <rPh sb="1" eb="2">
      <t>モト</t>
    </rPh>
    <rPh sb="3" eb="4">
      <t>ホカ</t>
    </rPh>
    <phoneticPr fontId="1"/>
  </si>
  <si>
    <t>狩野雄太 他</t>
    <rPh sb="0" eb="2">
      <t>カノ</t>
    </rPh>
    <rPh sb="2" eb="4">
      <t>ユウタ</t>
    </rPh>
    <rPh sb="5" eb="6">
      <t>ホカ</t>
    </rPh>
    <phoneticPr fontId="1"/>
  </si>
  <si>
    <t>IRC2</t>
  </si>
  <si>
    <t>IRC3</t>
  </si>
  <si>
    <t>IRC4</t>
  </si>
  <si>
    <t>IRC5</t>
  </si>
  <si>
    <t>祐本和也 他</t>
    <rPh sb="0" eb="1">
      <t>スケ</t>
    </rPh>
    <rPh sb="1" eb="2">
      <t>モト</t>
    </rPh>
    <rPh sb="2" eb="4">
      <t>カズヤ</t>
    </rPh>
    <rPh sb="5" eb="6">
      <t>ホカ</t>
    </rPh>
    <phoneticPr fontId="1"/>
  </si>
  <si>
    <t>阿部洋 他</t>
    <rPh sb="0" eb="2">
      <t>アベ</t>
    </rPh>
    <rPh sb="2" eb="3">
      <t>ヒロシ</t>
    </rPh>
    <rPh sb="4" eb="5">
      <t>ホカ</t>
    </rPh>
    <phoneticPr fontId="1"/>
  </si>
  <si>
    <t>梅村建次 他</t>
    <rPh sb="0" eb="2">
      <t>ウメムラ</t>
    </rPh>
    <rPh sb="2" eb="4">
      <t>ケンジ</t>
    </rPh>
    <rPh sb="5" eb="6">
      <t>ホカ</t>
    </rPh>
    <phoneticPr fontId="1"/>
  </si>
  <si>
    <t>木本敏一 他</t>
    <rPh sb="0" eb="2">
      <t>キモト</t>
    </rPh>
    <rPh sb="2" eb="4">
      <t>トシカズ</t>
    </rPh>
    <rPh sb="5" eb="6">
      <t>ホカ</t>
    </rPh>
    <phoneticPr fontId="1"/>
  </si>
  <si>
    <t>楠原文雄 他</t>
    <rPh sb="0" eb="2">
      <t>クスハラ</t>
    </rPh>
    <rPh sb="2" eb="4">
      <t>フミオ</t>
    </rPh>
    <rPh sb="5" eb="6">
      <t>ホカ</t>
    </rPh>
    <phoneticPr fontId="1"/>
  </si>
  <si>
    <t>高谷真次 他</t>
    <rPh sb="0" eb="2">
      <t>タカヤ</t>
    </rPh>
    <rPh sb="2" eb="3">
      <t>シン</t>
    </rPh>
    <rPh sb="3" eb="4">
      <t>ジ</t>
    </rPh>
    <rPh sb="5" eb="6">
      <t>ホカ</t>
    </rPh>
    <phoneticPr fontId="1"/>
  </si>
  <si>
    <t>原可南子 他</t>
    <rPh sb="0" eb="1">
      <t>ハラ</t>
    </rPh>
    <rPh sb="1" eb="4">
      <t>カナコ</t>
    </rPh>
    <rPh sb="5" eb="6">
      <t>ホカ</t>
    </rPh>
    <phoneticPr fontId="1"/>
  </si>
  <si>
    <t>近藤龍哉 他</t>
    <rPh sb="0" eb="2">
      <t>コンドウ</t>
    </rPh>
    <rPh sb="2" eb="3">
      <t>タツ</t>
    </rPh>
    <rPh sb="3" eb="4">
      <t>ヤ</t>
    </rPh>
    <rPh sb="5" eb="6">
      <t>ホカ</t>
    </rPh>
    <phoneticPr fontId="1"/>
  </si>
  <si>
    <t>田崎渉 他</t>
    <rPh sb="0" eb="2">
      <t>タザキ</t>
    </rPh>
    <rPh sb="2" eb="3">
      <t>ワタル</t>
    </rPh>
    <rPh sb="4" eb="5">
      <t>ホカ</t>
    </rPh>
    <phoneticPr fontId="1"/>
  </si>
  <si>
    <t>村上裕介 他</t>
    <rPh sb="0" eb="2">
      <t>ムラカミ</t>
    </rPh>
    <rPh sb="2" eb="4">
      <t>ユウスケ</t>
    </rPh>
    <rPh sb="5" eb="6">
      <t>ホカ</t>
    </rPh>
    <phoneticPr fontId="1"/>
  </si>
  <si>
    <t>鈴木英之 他</t>
    <rPh sb="0" eb="2">
      <t>スズキ</t>
    </rPh>
    <rPh sb="2" eb="4">
      <t>ヒデユキ</t>
    </rPh>
    <rPh sb="5" eb="6">
      <t>ホカ</t>
    </rPh>
    <phoneticPr fontId="1"/>
  </si>
  <si>
    <t>高稲 他</t>
    <rPh sb="0" eb="1">
      <t>タカ</t>
    </rPh>
    <rPh sb="1" eb="2">
      <t>イナ</t>
    </rPh>
    <rPh sb="3" eb="4">
      <t>ホカ</t>
    </rPh>
    <phoneticPr fontId="1"/>
  </si>
  <si>
    <t>大久保 他</t>
    <rPh sb="0" eb="3">
      <t>オオクボ</t>
    </rPh>
    <rPh sb="4" eb="5">
      <t>ホカ</t>
    </rPh>
    <phoneticPr fontId="1"/>
  </si>
  <si>
    <t>B01</t>
  </si>
  <si>
    <t>B02</t>
  </si>
  <si>
    <t>B03</t>
  </si>
  <si>
    <t>B04</t>
  </si>
  <si>
    <t>B05</t>
  </si>
  <si>
    <t>B06</t>
  </si>
  <si>
    <t>B07</t>
  </si>
  <si>
    <t>B08</t>
  </si>
  <si>
    <t>B09</t>
  </si>
  <si>
    <t>B10</t>
  </si>
  <si>
    <t>C01</t>
  </si>
  <si>
    <t>C03</t>
  </si>
  <si>
    <t>D01</t>
  </si>
  <si>
    <t>D02</t>
  </si>
  <si>
    <t>D03</t>
  </si>
  <si>
    <t>D04</t>
  </si>
  <si>
    <t>D05</t>
  </si>
  <si>
    <t>D06</t>
  </si>
  <si>
    <t>D07</t>
  </si>
  <si>
    <t>D08</t>
  </si>
  <si>
    <t>D09</t>
  </si>
  <si>
    <t>D10</t>
  </si>
  <si>
    <t>D11</t>
  </si>
  <si>
    <t>E01</t>
  </si>
  <si>
    <t>E02</t>
  </si>
  <si>
    <t>E03</t>
  </si>
  <si>
    <t>B</t>
  </si>
  <si>
    <t>No.17</t>
  </si>
  <si>
    <t>BJ</t>
  </si>
  <si>
    <t>No.19</t>
  </si>
  <si>
    <t>D22</t>
  </si>
  <si>
    <t>No.20</t>
  </si>
  <si>
    <t>HL</t>
  </si>
  <si>
    <t>6φ</t>
  </si>
  <si>
    <t>ロ</t>
  </si>
  <si>
    <t>LH</t>
  </si>
  <si>
    <t>NO23</t>
  </si>
  <si>
    <t>NO24</t>
  </si>
  <si>
    <t>HD16</t>
  </si>
  <si>
    <t>NO26</t>
  </si>
  <si>
    <t>NO28</t>
  </si>
  <si>
    <t>NO29</t>
  </si>
  <si>
    <t>NO30</t>
  </si>
  <si>
    <t>B1</t>
  </si>
  <si>
    <t>J-6</t>
  </si>
  <si>
    <t>SD70</t>
  </si>
  <si>
    <t>J-7</t>
  </si>
  <si>
    <t>J-8</t>
  </si>
  <si>
    <t>I1</t>
  </si>
  <si>
    <t>U6.4</t>
  </si>
  <si>
    <t>I3</t>
  </si>
  <si>
    <t>SP2</t>
  </si>
  <si>
    <t>J-48-20</t>
  </si>
  <si>
    <t>J-48-18</t>
  </si>
  <si>
    <t>J-48-16</t>
  </si>
  <si>
    <t>J-60-20</t>
  </si>
  <si>
    <t>J-60-18</t>
  </si>
  <si>
    <t>J-60-16</t>
  </si>
  <si>
    <t>JS-36-20</t>
  </si>
  <si>
    <t>JS-36-18</t>
  </si>
  <si>
    <t>JS-48-20</t>
  </si>
  <si>
    <t>JS-60-20</t>
  </si>
  <si>
    <t>JS-60-18</t>
  </si>
  <si>
    <t>J-600-50</t>
  </si>
  <si>
    <t>SD50</t>
  </si>
  <si>
    <t>D8</t>
  </si>
  <si>
    <t>J-600-70</t>
  </si>
  <si>
    <t>J-900-70</t>
  </si>
  <si>
    <t>J-600-70A</t>
  </si>
  <si>
    <t>No.1</t>
  </si>
  <si>
    <t>SD35</t>
  </si>
  <si>
    <t>SD100</t>
  </si>
  <si>
    <t>No.7</t>
  </si>
  <si>
    <t>No.8</t>
  </si>
  <si>
    <t>A-M</t>
  </si>
  <si>
    <t>A-R</t>
  </si>
  <si>
    <t>B-M</t>
  </si>
  <si>
    <t>B-R</t>
  </si>
  <si>
    <t>C-M</t>
  </si>
  <si>
    <t>C-R</t>
  </si>
  <si>
    <t>No.31</t>
  </si>
  <si>
    <t>D25</t>
  </si>
  <si>
    <t>D29</t>
  </si>
  <si>
    <t>No.32</t>
  </si>
  <si>
    <t>No.33</t>
  </si>
  <si>
    <t>MKJ-1</t>
  </si>
  <si>
    <t>MKJ-2</t>
  </si>
  <si>
    <t>MKJ-3</t>
  </si>
  <si>
    <t>MKJ-4</t>
  </si>
  <si>
    <t>HNO8</t>
  </si>
  <si>
    <t>HD6</t>
  </si>
  <si>
    <t>HD19</t>
  </si>
  <si>
    <t>HNO9</t>
  </si>
  <si>
    <t>HD22</t>
  </si>
  <si>
    <t>HNO10</t>
  </si>
  <si>
    <t>UD19</t>
  </si>
  <si>
    <t>J11A</t>
  </si>
  <si>
    <t>5φ</t>
  </si>
  <si>
    <t>6.3φ</t>
  </si>
  <si>
    <t>J11C</t>
  </si>
  <si>
    <t>J12A</t>
  </si>
  <si>
    <t>J31A</t>
  </si>
  <si>
    <t>J32A</t>
  </si>
  <si>
    <t>No43</t>
  </si>
  <si>
    <t>No44</t>
  </si>
  <si>
    <t>No46</t>
  </si>
  <si>
    <t>No48</t>
  </si>
  <si>
    <t>No50</t>
  </si>
  <si>
    <t>H1</t>
  </si>
  <si>
    <t>H2</t>
  </si>
  <si>
    <t>H3</t>
  </si>
  <si>
    <t>SD390</t>
  </si>
  <si>
    <t>U7.4</t>
  </si>
  <si>
    <t>J-0</t>
  </si>
  <si>
    <t>9φ</t>
  </si>
  <si>
    <t>J22-0</t>
  </si>
  <si>
    <t>M-B</t>
  </si>
  <si>
    <t>M-J</t>
  </si>
  <si>
    <t>S8</t>
  </si>
  <si>
    <t>SD685</t>
  </si>
  <si>
    <t>J-1</t>
  </si>
  <si>
    <t>U9.2</t>
  </si>
  <si>
    <t>U11.4</t>
  </si>
  <si>
    <t>BN-1</t>
  </si>
  <si>
    <t>SD490</t>
  </si>
  <si>
    <t>BN-2</t>
  </si>
  <si>
    <t>BN-3</t>
  </si>
  <si>
    <t>BN-5</t>
  </si>
  <si>
    <t>I8C</t>
  </si>
  <si>
    <t>I6C</t>
  </si>
  <si>
    <t>B15-16</t>
  </si>
  <si>
    <t>B15-13</t>
  </si>
  <si>
    <t>B15-10</t>
  </si>
  <si>
    <t>B16-16</t>
  </si>
  <si>
    <t>B16-13</t>
  </si>
  <si>
    <t>B16-10</t>
  </si>
  <si>
    <t>SD295</t>
  </si>
  <si>
    <t>HBS</t>
  </si>
  <si>
    <t>No1</t>
  </si>
  <si>
    <t>No2</t>
  </si>
  <si>
    <t>No5</t>
  </si>
  <si>
    <t>No6</t>
  </si>
  <si>
    <t>CN</t>
  </si>
  <si>
    <t>S3</t>
  </si>
  <si>
    <t>S1</t>
  </si>
  <si>
    <t>J-11</t>
  </si>
  <si>
    <t>USD685</t>
  </si>
  <si>
    <t>φ7.1</t>
  </si>
  <si>
    <t>J-12</t>
  </si>
  <si>
    <t>SD345A</t>
  </si>
  <si>
    <t>AIJ2</t>
  </si>
  <si>
    <t>AIJN</t>
  </si>
  <si>
    <t>SD785</t>
  </si>
  <si>
    <t>No3</t>
  </si>
  <si>
    <t>BC-B2</t>
  </si>
  <si>
    <t>UHD6</t>
  </si>
  <si>
    <t>BC-P2</t>
  </si>
  <si>
    <t>M1</t>
  </si>
  <si>
    <t>sin</t>
  </si>
  <si>
    <t>zai</t>
  </si>
  <si>
    <t>JE-0</t>
  </si>
  <si>
    <t>BCJ-0.6</t>
  </si>
  <si>
    <t>BCJ-1.0</t>
  </si>
  <si>
    <t>BCJ-1.2</t>
  </si>
  <si>
    <t>BCJ-1.6</t>
  </si>
  <si>
    <t>BCJ-1.6J</t>
  </si>
  <si>
    <t>BCJ-2.0</t>
  </si>
  <si>
    <t>J2</t>
  </si>
  <si>
    <t>S6</t>
  </si>
  <si>
    <t>NS</t>
  </si>
  <si>
    <t>NB</t>
  </si>
  <si>
    <t>上原 他</t>
  </si>
  <si>
    <t>2003-IJ1</t>
  </si>
  <si>
    <t>Φ3.2</t>
  </si>
  <si>
    <t>BJIS</t>
  </si>
  <si>
    <t>KJIS</t>
  </si>
  <si>
    <t>SDN</t>
  </si>
  <si>
    <t>1-1</t>
  </si>
  <si>
    <t>PC</t>
  </si>
  <si>
    <t>U7.1</t>
  </si>
  <si>
    <t>U9.0</t>
  </si>
  <si>
    <t>2-4</t>
  </si>
  <si>
    <t>RC</t>
  </si>
  <si>
    <t>J1</t>
  </si>
  <si>
    <t>150-N</t>
  </si>
  <si>
    <t>60-N</t>
  </si>
  <si>
    <t>42-N</t>
  </si>
  <si>
    <t>J17NF</t>
  </si>
  <si>
    <t>SD980</t>
  </si>
  <si>
    <t>J14NF</t>
  </si>
  <si>
    <t>J15-1</t>
  </si>
  <si>
    <t>B-LS</t>
  </si>
  <si>
    <t>BJ-LS</t>
  </si>
  <si>
    <t>BJ-HS</t>
  </si>
  <si>
    <t>S-60</t>
  </si>
  <si>
    <t>S-0</t>
  </si>
  <si>
    <t>L-60</t>
  </si>
  <si>
    <t>2005-IJ1</t>
  </si>
  <si>
    <t>2004-IJ1</t>
  </si>
  <si>
    <t>IRC1</t>
  </si>
  <si>
    <t>MJIS</t>
  </si>
  <si>
    <t>SD590</t>
  </si>
  <si>
    <t>PJN</t>
  </si>
  <si>
    <t>UD6</t>
  </si>
  <si>
    <t>A1</t>
  </si>
  <si>
    <t>JH1</t>
  </si>
  <si>
    <t>2006-IJ1</t>
  </si>
  <si>
    <t>BN</t>
  </si>
  <si>
    <t>NR</t>
  </si>
  <si>
    <t>D1</t>
  </si>
  <si>
    <t>2006-IJ3</t>
  </si>
  <si>
    <t>S-CO</t>
  </si>
  <si>
    <t>M-EJ</t>
  </si>
  <si>
    <t>JE1</t>
  </si>
  <si>
    <t>JE2</t>
  </si>
  <si>
    <t>J-21</t>
  </si>
  <si>
    <t>J-22</t>
  </si>
  <si>
    <t>NB22</t>
  </si>
  <si>
    <t>B-0</t>
  </si>
  <si>
    <t>RB6.2</t>
  </si>
  <si>
    <t>試験体
番号</t>
    <rPh sb="0" eb="3">
      <t>シケンタイ</t>
    </rPh>
    <rPh sb="4" eb="6">
      <t>バンゴウ</t>
    </rPh>
    <phoneticPr fontId="2"/>
  </si>
  <si>
    <t>破壊性状</t>
    <rPh sb="0" eb="4">
      <t>ハカイセイジョウ</t>
    </rPh>
    <phoneticPr fontId="2"/>
  </si>
  <si>
    <t>試験体
固有名</t>
    <rPh sb="0" eb="3">
      <t>シケンタイ</t>
    </rPh>
    <rPh sb="4" eb="6">
      <t>コユウ</t>
    </rPh>
    <rPh sb="6" eb="7">
      <t>メイ</t>
    </rPh>
    <phoneticPr fontId="2"/>
  </si>
  <si>
    <t>L</t>
    <phoneticPr fontId="2"/>
  </si>
  <si>
    <t>H</t>
    <phoneticPr fontId="2"/>
  </si>
  <si>
    <t>fc(梁)</t>
    <rPh sb="3" eb="4">
      <t>ハリ</t>
    </rPh>
    <phoneticPr fontId="2"/>
  </si>
  <si>
    <t>fc(柱)</t>
    <rPh sb="3" eb="4">
      <t>ハシラ</t>
    </rPh>
    <phoneticPr fontId="2"/>
  </si>
  <si>
    <t>fc(接)</t>
    <rPh sb="3" eb="4">
      <t>セツ</t>
    </rPh>
    <phoneticPr fontId="2"/>
  </si>
  <si>
    <t>梁軸力</t>
    <rPh sb="0" eb="1">
      <t>ハリ</t>
    </rPh>
    <rPh sb="1" eb="2">
      <t>ジク</t>
    </rPh>
    <rPh sb="2" eb="3">
      <t>リョク</t>
    </rPh>
    <phoneticPr fontId="2"/>
  </si>
  <si>
    <t>柱軸力</t>
    <rPh sb="0" eb="1">
      <t>ハシラ</t>
    </rPh>
    <rPh sb="1" eb="2">
      <t>ジク</t>
    </rPh>
    <rPh sb="2" eb="3">
      <t>リョク</t>
    </rPh>
    <phoneticPr fontId="2"/>
  </si>
  <si>
    <t>梁断面</t>
    <rPh sb="0" eb="1">
      <t>ハリ</t>
    </rPh>
    <rPh sb="1" eb="3">
      <t>ダンメン</t>
    </rPh>
    <phoneticPr fontId="2"/>
  </si>
  <si>
    <t>bb</t>
    <phoneticPr fontId="2"/>
  </si>
  <si>
    <t>Db</t>
    <phoneticPr fontId="2"/>
  </si>
  <si>
    <t>梁主筋</t>
    <rPh sb="0" eb="1">
      <t>ハリ</t>
    </rPh>
    <rPh sb="1" eb="3">
      <t>シュキン</t>
    </rPh>
    <phoneticPr fontId="2"/>
  </si>
  <si>
    <t>種別</t>
    <rPh sb="0" eb="2">
      <t>シュベツ</t>
    </rPh>
    <phoneticPr fontId="2"/>
  </si>
  <si>
    <t>あばら筋</t>
    <rPh sb="3" eb="4">
      <t>キン</t>
    </rPh>
    <phoneticPr fontId="2"/>
  </si>
  <si>
    <t>梁補強筋</t>
    <rPh sb="0" eb="1">
      <t>ハリ</t>
    </rPh>
    <rPh sb="1" eb="4">
      <t>ホキョウキン</t>
    </rPh>
    <phoneticPr fontId="2"/>
  </si>
  <si>
    <t>一から
の位置</t>
    <rPh sb="0" eb="1">
      <t>イチ</t>
    </rPh>
    <rPh sb="5" eb="7">
      <t>イチ</t>
    </rPh>
    <phoneticPr fontId="2"/>
  </si>
  <si>
    <t>梁位置情報</t>
    <rPh sb="0" eb="1">
      <t>ハリ</t>
    </rPh>
    <rPh sb="1" eb="3">
      <t>イチ</t>
    </rPh>
    <rPh sb="3" eb="5">
      <t>ジョウホウ</t>
    </rPh>
    <phoneticPr fontId="2"/>
  </si>
  <si>
    <t>Dc</t>
    <phoneticPr fontId="2"/>
  </si>
  <si>
    <t>柱断面</t>
    <rPh sb="0" eb="1">
      <t>ハシラ</t>
    </rPh>
    <rPh sb="1" eb="3">
      <t>ダンメン</t>
    </rPh>
    <phoneticPr fontId="2"/>
  </si>
  <si>
    <t>梁</t>
    <rPh sb="0" eb="1">
      <t>ハリ</t>
    </rPh>
    <phoneticPr fontId="2"/>
  </si>
  <si>
    <t>柱主筋</t>
    <rPh sb="0" eb="1">
      <t>ハシラ</t>
    </rPh>
    <rPh sb="1" eb="3">
      <t>シュキン</t>
    </rPh>
    <phoneticPr fontId="2"/>
  </si>
  <si>
    <t>N/㎟</t>
    <phoneticPr fontId="2"/>
  </si>
  <si>
    <t>鉄筋中心
までの幅</t>
    <rPh sb="0" eb="2">
      <t>テッキン</t>
    </rPh>
    <rPh sb="2" eb="3">
      <t>チュウ</t>
    </rPh>
    <rPh sb="3" eb="4">
      <t>シン</t>
    </rPh>
    <rPh sb="8" eb="9">
      <t>ハバ</t>
    </rPh>
    <phoneticPr fontId="2"/>
  </si>
  <si>
    <t>接合部補強筋</t>
    <rPh sb="0" eb="2">
      <t>セツゴウ</t>
    </rPh>
    <rPh sb="2" eb="3">
      <t>ブ</t>
    </rPh>
    <rPh sb="3" eb="5">
      <t>ホキョウ</t>
    </rPh>
    <rPh sb="5" eb="6">
      <t>キン</t>
    </rPh>
    <phoneticPr fontId="2"/>
  </si>
  <si>
    <t>八角形</t>
  </si>
  <si>
    <t>囲</t>
  </si>
  <si>
    <t>特殊</t>
  </si>
  <si>
    <t>口</t>
  </si>
  <si>
    <t>SD490焼</t>
  </si>
  <si>
    <t>C種1号</t>
  </si>
  <si>
    <t>階高</t>
    <rPh sb="0" eb="2">
      <t>カイダカ</t>
    </rPh>
    <phoneticPr fontId="2"/>
  </si>
  <si>
    <t>スパン</t>
    <phoneticPr fontId="2"/>
  </si>
  <si>
    <t>N/㎟</t>
    <phoneticPr fontId="2"/>
  </si>
  <si>
    <t>S-0</t>
    <phoneticPr fontId="2"/>
  </si>
  <si>
    <t>S-40</t>
    <phoneticPr fontId="2"/>
  </si>
  <si>
    <t>S-60</t>
    <phoneticPr fontId="2"/>
  </si>
  <si>
    <t>S-80</t>
    <phoneticPr fontId="2"/>
  </si>
  <si>
    <t>C-0</t>
    <phoneticPr fontId="2"/>
  </si>
  <si>
    <t>C-40</t>
    <phoneticPr fontId="2"/>
  </si>
  <si>
    <t>C-80-1</t>
    <phoneticPr fontId="2"/>
  </si>
  <si>
    <t>C-80-2</t>
    <phoneticPr fontId="2"/>
  </si>
  <si>
    <t>kN</t>
    <phoneticPr fontId="2"/>
  </si>
  <si>
    <t>tate</t>
    <phoneticPr fontId="2"/>
  </si>
  <si>
    <t>yoko</t>
    <phoneticPr fontId="2"/>
  </si>
  <si>
    <t>D19</t>
    <phoneticPr fontId="2"/>
  </si>
  <si>
    <t>9φ</t>
    <phoneticPr fontId="2"/>
  </si>
  <si>
    <t>D16</t>
    <phoneticPr fontId="2"/>
  </si>
  <si>
    <t>D16</t>
    <phoneticPr fontId="2"/>
  </si>
  <si>
    <t>9φ</t>
    <phoneticPr fontId="2"/>
  </si>
  <si>
    <t>9φ</t>
    <phoneticPr fontId="2"/>
  </si>
  <si>
    <t>A</t>
    <phoneticPr fontId="2"/>
  </si>
  <si>
    <t>B</t>
    <phoneticPr fontId="2"/>
  </si>
  <si>
    <t>C</t>
    <phoneticPr fontId="2"/>
  </si>
  <si>
    <t>D13</t>
    <phoneticPr fontId="2"/>
  </si>
  <si>
    <t>SD35</t>
    <phoneticPr fontId="2"/>
  </si>
  <si>
    <t>SD35</t>
    <phoneticPr fontId="2"/>
  </si>
  <si>
    <t>5φ</t>
    <phoneticPr fontId="2"/>
  </si>
  <si>
    <t>5φ</t>
    <phoneticPr fontId="2"/>
  </si>
  <si>
    <t>D13</t>
    <phoneticPr fontId="2"/>
  </si>
  <si>
    <t>5φ</t>
    <phoneticPr fontId="2"/>
  </si>
  <si>
    <t>No.1</t>
    <phoneticPr fontId="2"/>
  </si>
  <si>
    <t>D22</t>
    <phoneticPr fontId="2"/>
  </si>
  <si>
    <t>φ9</t>
    <phoneticPr fontId="2"/>
  </si>
  <si>
    <t>B</t>
    <phoneticPr fontId="2"/>
  </si>
  <si>
    <t>J1</t>
    <phoneticPr fontId="2"/>
  </si>
  <si>
    <t>J3</t>
  </si>
  <si>
    <t>J4</t>
  </si>
  <si>
    <t>J5</t>
  </si>
  <si>
    <t>J6</t>
  </si>
  <si>
    <t>D13</t>
    <phoneticPr fontId="2"/>
  </si>
  <si>
    <t>D6</t>
    <phoneticPr fontId="2"/>
  </si>
  <si>
    <t>D6</t>
    <phoneticPr fontId="2"/>
  </si>
  <si>
    <t>D10</t>
    <phoneticPr fontId="2"/>
  </si>
  <si>
    <t>D13</t>
    <phoneticPr fontId="2"/>
  </si>
  <si>
    <t>CJ1</t>
    <phoneticPr fontId="2"/>
  </si>
  <si>
    <t>CJ2</t>
  </si>
  <si>
    <t>CJ3</t>
  </si>
  <si>
    <t>D13</t>
    <phoneticPr fontId="2"/>
  </si>
  <si>
    <t>C1</t>
    <phoneticPr fontId="2"/>
  </si>
  <si>
    <t>C2</t>
    <phoneticPr fontId="2"/>
  </si>
  <si>
    <t>C3</t>
    <phoneticPr fontId="2"/>
  </si>
  <si>
    <t>SD24</t>
    <phoneticPr fontId="2"/>
  </si>
  <si>
    <t>SD24</t>
    <phoneticPr fontId="2"/>
  </si>
  <si>
    <t>B</t>
    <phoneticPr fontId="2"/>
  </si>
  <si>
    <t>B</t>
    <phoneticPr fontId="2"/>
  </si>
  <si>
    <t>BJ</t>
    <phoneticPr fontId="2"/>
  </si>
  <si>
    <t>B</t>
    <phoneticPr fontId="2"/>
  </si>
  <si>
    <t>J</t>
    <phoneticPr fontId="2"/>
  </si>
  <si>
    <t>ロ</t>
    <phoneticPr fontId="2"/>
  </si>
  <si>
    <t>ロ</t>
    <phoneticPr fontId="2"/>
  </si>
  <si>
    <t>目</t>
    <rPh sb="0" eb="1">
      <t>メ</t>
    </rPh>
    <phoneticPr fontId="2"/>
  </si>
  <si>
    <t>BJ</t>
    <phoneticPr fontId="2"/>
  </si>
  <si>
    <t>J</t>
    <phoneticPr fontId="2"/>
  </si>
  <si>
    <t>D19</t>
    <phoneticPr fontId="2"/>
  </si>
  <si>
    <t>D19</t>
    <phoneticPr fontId="2"/>
  </si>
  <si>
    <t>D16</t>
    <phoneticPr fontId="2"/>
  </si>
  <si>
    <t>A1</t>
    <phoneticPr fontId="2"/>
  </si>
  <si>
    <t>D13</t>
    <phoneticPr fontId="2"/>
  </si>
  <si>
    <t>SD30</t>
    <phoneticPr fontId="2"/>
  </si>
  <si>
    <t>D6</t>
    <phoneticPr fontId="2"/>
  </si>
  <si>
    <t>D6</t>
    <phoneticPr fontId="2"/>
  </si>
  <si>
    <t>C3-HH</t>
    <phoneticPr fontId="2"/>
  </si>
  <si>
    <t>C3-HO</t>
    <phoneticPr fontId="2"/>
  </si>
  <si>
    <t>C3-MM</t>
    <phoneticPr fontId="2"/>
  </si>
  <si>
    <t>C3-MO</t>
    <phoneticPr fontId="2"/>
  </si>
  <si>
    <t>C3-LO</t>
    <phoneticPr fontId="2"/>
  </si>
  <si>
    <t>C5-LO</t>
    <phoneticPr fontId="2"/>
  </si>
  <si>
    <t>D25</t>
    <phoneticPr fontId="2"/>
  </si>
  <si>
    <t>SD40</t>
  </si>
  <si>
    <t>SD40</t>
    <phoneticPr fontId="2"/>
  </si>
  <si>
    <t>5φ</t>
    <phoneticPr fontId="2"/>
  </si>
  <si>
    <t>5φ</t>
    <phoneticPr fontId="2"/>
  </si>
  <si>
    <t>SD50</t>
    <phoneticPr fontId="2"/>
  </si>
  <si>
    <t>5φ</t>
    <phoneticPr fontId="2"/>
  </si>
  <si>
    <t>J-1</t>
    <phoneticPr fontId="2"/>
  </si>
  <si>
    <t>J-2</t>
    <phoneticPr fontId="2"/>
  </si>
  <si>
    <t>J-4</t>
    <phoneticPr fontId="2"/>
  </si>
  <si>
    <t>J-5</t>
    <phoneticPr fontId="2"/>
  </si>
  <si>
    <t>SD60</t>
    <phoneticPr fontId="2"/>
  </si>
  <si>
    <t>U6.4</t>
    <phoneticPr fontId="2"/>
  </si>
  <si>
    <t>D13</t>
    <phoneticPr fontId="2"/>
  </si>
  <si>
    <t>ロ</t>
    <phoneticPr fontId="2"/>
  </si>
  <si>
    <t>U13</t>
    <phoneticPr fontId="2"/>
  </si>
  <si>
    <t>U6.4</t>
    <phoneticPr fontId="2"/>
  </si>
  <si>
    <t>SD50</t>
    <phoneticPr fontId="2"/>
  </si>
  <si>
    <t>SD80</t>
    <phoneticPr fontId="2"/>
  </si>
  <si>
    <t>U13</t>
    <phoneticPr fontId="2"/>
  </si>
  <si>
    <t>D16</t>
    <phoneticPr fontId="2"/>
  </si>
  <si>
    <t>J</t>
    <phoneticPr fontId="2"/>
  </si>
  <si>
    <t>J</t>
    <phoneticPr fontId="2"/>
  </si>
  <si>
    <t>BJ</t>
    <phoneticPr fontId="2"/>
  </si>
  <si>
    <t>BJ</t>
    <phoneticPr fontId="2"/>
  </si>
  <si>
    <t>HNO.1</t>
    <phoneticPr fontId="2"/>
  </si>
  <si>
    <t>HNO.3</t>
    <phoneticPr fontId="2"/>
  </si>
  <si>
    <t>HNO.4</t>
    <phoneticPr fontId="2"/>
  </si>
  <si>
    <t>HNO.5</t>
    <phoneticPr fontId="2"/>
  </si>
  <si>
    <t>HNO.6</t>
    <phoneticPr fontId="2"/>
  </si>
  <si>
    <t>HD16</t>
    <phoneticPr fontId="2"/>
  </si>
  <si>
    <t>D22</t>
    <phoneticPr fontId="2"/>
  </si>
  <si>
    <t>HD22</t>
    <phoneticPr fontId="2"/>
  </si>
  <si>
    <t>HD6</t>
    <phoneticPr fontId="2"/>
  </si>
  <si>
    <t>HD6</t>
    <phoneticPr fontId="2"/>
  </si>
  <si>
    <t>D10</t>
    <phoneticPr fontId="2"/>
  </si>
  <si>
    <t>八角形</t>
    <rPh sb="0" eb="3">
      <t>ハチカッケイ</t>
    </rPh>
    <phoneticPr fontId="2"/>
  </si>
  <si>
    <t>J</t>
    <phoneticPr fontId="2"/>
  </si>
  <si>
    <t>BJ</t>
    <phoneticPr fontId="2"/>
  </si>
  <si>
    <t>TFT1</t>
    <phoneticPr fontId="2"/>
  </si>
  <si>
    <t>TFT2</t>
  </si>
  <si>
    <t>TFT4</t>
    <phoneticPr fontId="2"/>
  </si>
  <si>
    <t>TFT5</t>
    <phoneticPr fontId="2"/>
  </si>
  <si>
    <t>D19</t>
    <phoneticPr fontId="2"/>
  </si>
  <si>
    <t>D8</t>
    <phoneticPr fontId="2"/>
  </si>
  <si>
    <t>D8</t>
    <phoneticPr fontId="2"/>
  </si>
  <si>
    <t>囲</t>
    <rPh sb="0" eb="1">
      <t>カコ</t>
    </rPh>
    <phoneticPr fontId="2"/>
  </si>
  <si>
    <t>D16</t>
    <phoneticPr fontId="2"/>
  </si>
  <si>
    <t>D16</t>
    <phoneticPr fontId="2"/>
  </si>
  <si>
    <t>φ9</t>
    <phoneticPr fontId="2"/>
  </si>
  <si>
    <t>φ9</t>
    <phoneticPr fontId="2"/>
  </si>
  <si>
    <t>A1</t>
    <phoneticPr fontId="2"/>
  </si>
  <si>
    <t>A2</t>
    <phoneticPr fontId="2"/>
  </si>
  <si>
    <t>A3</t>
    <phoneticPr fontId="2"/>
  </si>
  <si>
    <t>A4</t>
    <phoneticPr fontId="2"/>
  </si>
  <si>
    <t>J</t>
    <phoneticPr fontId="2"/>
  </si>
  <si>
    <t>D10</t>
    <phoneticPr fontId="2"/>
  </si>
  <si>
    <t>SD35</t>
    <phoneticPr fontId="2"/>
  </si>
  <si>
    <t>SD100</t>
    <phoneticPr fontId="2"/>
  </si>
  <si>
    <t>D13</t>
    <phoneticPr fontId="2"/>
  </si>
  <si>
    <t>D13</t>
    <phoneticPr fontId="2"/>
  </si>
  <si>
    <t>目</t>
    <rPh sb="0" eb="1">
      <t>メ</t>
    </rPh>
    <phoneticPr fontId="2"/>
  </si>
  <si>
    <t>BJ</t>
    <phoneticPr fontId="2"/>
  </si>
  <si>
    <t>OKJ-1</t>
    <phoneticPr fontId="2"/>
  </si>
  <si>
    <t>J</t>
    <phoneticPr fontId="2"/>
  </si>
  <si>
    <t>OKJ-2</t>
    <phoneticPr fontId="2"/>
  </si>
  <si>
    <t>OKJ-3</t>
  </si>
  <si>
    <t>OKJ-4</t>
  </si>
  <si>
    <t>OKJ-5</t>
  </si>
  <si>
    <t>OKJ-6</t>
  </si>
  <si>
    <t>D13</t>
    <phoneticPr fontId="2"/>
  </si>
  <si>
    <t>SD70</t>
    <phoneticPr fontId="2"/>
  </si>
  <si>
    <t>D13</t>
    <phoneticPr fontId="2"/>
  </si>
  <si>
    <t>D6</t>
    <phoneticPr fontId="2"/>
  </si>
  <si>
    <t>D6</t>
    <phoneticPr fontId="2"/>
  </si>
  <si>
    <t>D6</t>
    <phoneticPr fontId="2"/>
  </si>
  <si>
    <t>D19</t>
    <phoneticPr fontId="2"/>
  </si>
  <si>
    <t>D16</t>
    <phoneticPr fontId="2"/>
  </si>
  <si>
    <t>囲</t>
    <rPh sb="0" eb="1">
      <t>カコ</t>
    </rPh>
    <phoneticPr fontId="2"/>
  </si>
  <si>
    <t>SD390</t>
    <phoneticPr fontId="2"/>
  </si>
  <si>
    <t>D25</t>
    <phoneticPr fontId="2"/>
  </si>
  <si>
    <t>BJ</t>
    <phoneticPr fontId="2"/>
  </si>
  <si>
    <t>BJ</t>
    <phoneticPr fontId="2"/>
  </si>
  <si>
    <t>HC</t>
    <phoneticPr fontId="2"/>
  </si>
  <si>
    <t>D10</t>
    <phoneticPr fontId="2"/>
  </si>
  <si>
    <t>D6</t>
    <phoneticPr fontId="2"/>
  </si>
  <si>
    <t>D16</t>
    <phoneticPr fontId="2"/>
  </si>
  <si>
    <t>D6</t>
    <phoneticPr fontId="2"/>
  </si>
  <si>
    <t>目</t>
    <rPh sb="0" eb="1">
      <t>メ</t>
    </rPh>
    <phoneticPr fontId="2"/>
  </si>
  <si>
    <t>BJ</t>
    <phoneticPr fontId="2"/>
  </si>
  <si>
    <t>BJ</t>
    <phoneticPr fontId="2"/>
  </si>
  <si>
    <t>No.2</t>
    <phoneticPr fontId="2"/>
  </si>
  <si>
    <t>No.3</t>
    <phoneticPr fontId="2"/>
  </si>
  <si>
    <t>D19</t>
    <phoneticPr fontId="2"/>
  </si>
  <si>
    <t>D19</t>
    <phoneticPr fontId="2"/>
  </si>
  <si>
    <t>5φ</t>
    <phoneticPr fontId="2"/>
  </si>
  <si>
    <t>ロ</t>
    <phoneticPr fontId="2"/>
  </si>
  <si>
    <t>BJ</t>
    <phoneticPr fontId="2"/>
  </si>
  <si>
    <t>BJ</t>
    <phoneticPr fontId="2"/>
  </si>
  <si>
    <t>J-10</t>
    <phoneticPr fontId="2"/>
  </si>
  <si>
    <t>J-11</t>
    <phoneticPr fontId="2"/>
  </si>
  <si>
    <t>J</t>
    <phoneticPr fontId="2"/>
  </si>
  <si>
    <t>J</t>
    <phoneticPr fontId="2"/>
  </si>
  <si>
    <t>D13</t>
    <phoneticPr fontId="2"/>
  </si>
  <si>
    <t>D19</t>
    <phoneticPr fontId="2"/>
  </si>
  <si>
    <t>SD70</t>
    <phoneticPr fontId="2"/>
  </si>
  <si>
    <t>SD35</t>
    <phoneticPr fontId="2"/>
  </si>
  <si>
    <t>D6</t>
    <phoneticPr fontId="2"/>
  </si>
  <si>
    <t>D6</t>
    <phoneticPr fontId="2"/>
  </si>
  <si>
    <t>D13</t>
    <phoneticPr fontId="2"/>
  </si>
  <si>
    <t>D19</t>
    <phoneticPr fontId="2"/>
  </si>
  <si>
    <t>SD35</t>
    <phoneticPr fontId="2"/>
  </si>
  <si>
    <t>ロ</t>
    <phoneticPr fontId="2"/>
  </si>
  <si>
    <t>I4</t>
    <phoneticPr fontId="2"/>
  </si>
  <si>
    <t>D16</t>
    <phoneticPr fontId="2"/>
  </si>
  <si>
    <t>D6</t>
    <phoneticPr fontId="2"/>
  </si>
  <si>
    <t>D16</t>
    <phoneticPr fontId="2"/>
  </si>
  <si>
    <t>目</t>
    <rPh sb="0" eb="1">
      <t>メ</t>
    </rPh>
    <phoneticPr fontId="2"/>
  </si>
  <si>
    <t>川合 他</t>
    <rPh sb="0" eb="2">
      <t>カワイ</t>
    </rPh>
    <rPh sb="3" eb="4">
      <t>ホカ</t>
    </rPh>
    <phoneticPr fontId="1"/>
  </si>
  <si>
    <t>D25</t>
    <phoneticPr fontId="2"/>
  </si>
  <si>
    <t>SD390</t>
    <phoneticPr fontId="2"/>
  </si>
  <si>
    <t>D13</t>
    <phoneticPr fontId="2"/>
  </si>
  <si>
    <t>D29</t>
    <phoneticPr fontId="2"/>
  </si>
  <si>
    <t>D13</t>
    <phoneticPr fontId="2"/>
  </si>
  <si>
    <t>BJ</t>
    <phoneticPr fontId="2"/>
  </si>
  <si>
    <t>D16</t>
    <phoneticPr fontId="2"/>
  </si>
  <si>
    <t>D6</t>
    <phoneticPr fontId="2"/>
  </si>
  <si>
    <t>D19</t>
    <phoneticPr fontId="2"/>
  </si>
  <si>
    <t>D6</t>
    <phoneticPr fontId="2"/>
  </si>
  <si>
    <t>J</t>
    <phoneticPr fontId="2"/>
  </si>
  <si>
    <t>D10</t>
    <phoneticPr fontId="2"/>
  </si>
  <si>
    <t>D19</t>
    <phoneticPr fontId="2"/>
  </si>
  <si>
    <t>D6</t>
    <phoneticPr fontId="2"/>
  </si>
  <si>
    <t>B</t>
    <phoneticPr fontId="2"/>
  </si>
  <si>
    <t>No.1</t>
    <phoneticPr fontId="2"/>
  </si>
  <si>
    <t>D13</t>
    <phoneticPr fontId="2"/>
  </si>
  <si>
    <t>USD685</t>
    <phoneticPr fontId="2"/>
  </si>
  <si>
    <t>SD490</t>
    <phoneticPr fontId="2"/>
  </si>
  <si>
    <t>D22</t>
    <phoneticPr fontId="2"/>
  </si>
  <si>
    <t>D6</t>
    <phoneticPr fontId="2"/>
  </si>
  <si>
    <t>D6</t>
    <phoneticPr fontId="2"/>
  </si>
  <si>
    <t>D22</t>
    <phoneticPr fontId="2"/>
  </si>
  <si>
    <t>SD490</t>
    <phoneticPr fontId="2"/>
  </si>
  <si>
    <t>囲</t>
    <rPh sb="0" eb="1">
      <t>カコ</t>
    </rPh>
    <phoneticPr fontId="2"/>
  </si>
  <si>
    <t>B</t>
    <phoneticPr fontId="2"/>
  </si>
  <si>
    <t>BJ</t>
    <phoneticPr fontId="2"/>
  </si>
  <si>
    <t>J</t>
    <phoneticPr fontId="2"/>
  </si>
  <si>
    <t>総本数</t>
    <rPh sb="0" eb="1">
      <t>ソウ</t>
    </rPh>
    <rPh sb="1" eb="3">
      <t>ホンスウ</t>
    </rPh>
    <phoneticPr fontId="2"/>
  </si>
  <si>
    <t>補強筋</t>
    <rPh sb="0" eb="3">
      <t>ホキョウキン</t>
    </rPh>
    <phoneticPr fontId="2"/>
  </si>
  <si>
    <t>公称径</t>
    <rPh sb="0" eb="2">
      <t>コウショウ</t>
    </rPh>
    <rPh sb="2" eb="3">
      <t>ケイ</t>
    </rPh>
    <phoneticPr fontId="2"/>
  </si>
  <si>
    <t>断面積</t>
    <rPh sb="0" eb="3">
      <t>ダンメンセキ</t>
    </rPh>
    <phoneticPr fontId="2"/>
  </si>
  <si>
    <t>最下段の本数</t>
    <rPh sb="0" eb="2">
      <t>サイカ</t>
    </rPh>
    <rPh sb="2" eb="3">
      <t>ダン</t>
    </rPh>
    <rPh sb="4" eb="6">
      <t>ホンスウ</t>
    </rPh>
    <phoneticPr fontId="2"/>
  </si>
  <si>
    <t>下から2段目本数</t>
    <rPh sb="0" eb="1">
      <t>シタ</t>
    </rPh>
    <rPh sb="4" eb="5">
      <t>ダン</t>
    </rPh>
    <rPh sb="5" eb="6">
      <t>メ</t>
    </rPh>
    <rPh sb="6" eb="8">
      <t>ホンスウ</t>
    </rPh>
    <phoneticPr fontId="2"/>
  </si>
  <si>
    <t>下から1段目位置</t>
    <rPh sb="0" eb="1">
      <t>シタ</t>
    </rPh>
    <rPh sb="4" eb="5">
      <t>ダン</t>
    </rPh>
    <rPh sb="5" eb="6">
      <t>メ</t>
    </rPh>
    <rPh sb="6" eb="8">
      <t>イチ</t>
    </rPh>
    <phoneticPr fontId="2"/>
  </si>
  <si>
    <t>最下段からの位置</t>
    <rPh sb="0" eb="2">
      <t>サイカ</t>
    </rPh>
    <rPh sb="2" eb="3">
      <t>ダン</t>
    </rPh>
    <rPh sb="6" eb="8">
      <t>イチ</t>
    </rPh>
    <phoneticPr fontId="2"/>
  </si>
  <si>
    <t>備考</t>
    <rPh sb="0" eb="2">
      <t>ビコウ</t>
    </rPh>
    <phoneticPr fontId="2"/>
  </si>
  <si>
    <t>9φ</t>
    <phoneticPr fontId="2"/>
  </si>
  <si>
    <t>D6</t>
    <phoneticPr fontId="2"/>
  </si>
  <si>
    <t>D6</t>
    <phoneticPr fontId="2"/>
  </si>
  <si>
    <t>φ9</t>
    <phoneticPr fontId="2"/>
  </si>
  <si>
    <t>D10</t>
    <phoneticPr fontId="2"/>
  </si>
  <si>
    <t>かぶり厚さ30mmは前報と同じとする</t>
    <rPh sb="3" eb="4">
      <t>アツ</t>
    </rPh>
    <rPh sb="10" eb="12">
      <t>ゼンポウ</t>
    </rPh>
    <rPh sb="13" eb="14">
      <t>オナ</t>
    </rPh>
    <phoneticPr fontId="2"/>
  </si>
  <si>
    <t>WJ-1</t>
    <phoneticPr fontId="2"/>
  </si>
  <si>
    <t>WJ-2</t>
  </si>
  <si>
    <t>WJ-3</t>
  </si>
  <si>
    <t>WJ-4</t>
  </si>
  <si>
    <t>WJ-6</t>
  </si>
  <si>
    <t>位置、定規から</t>
    <rPh sb="0" eb="2">
      <t>イチ</t>
    </rPh>
    <rPh sb="3" eb="5">
      <t>ジョウギ</t>
    </rPh>
    <phoneticPr fontId="2"/>
  </si>
  <si>
    <t>梁2段を1段に集中させる、位置定規</t>
    <rPh sb="0" eb="1">
      <t>ハリ</t>
    </rPh>
    <rPh sb="2" eb="3">
      <t>ダン</t>
    </rPh>
    <rPh sb="5" eb="6">
      <t>ダン</t>
    </rPh>
    <rPh sb="7" eb="9">
      <t>シュウチュウ</t>
    </rPh>
    <rPh sb="13" eb="15">
      <t>イチ</t>
    </rPh>
    <rPh sb="15" eb="17">
      <t>ジョウギ</t>
    </rPh>
    <phoneticPr fontId="2"/>
  </si>
  <si>
    <t>2段筋2.5D</t>
    <rPh sb="1" eb="2">
      <t>ダン</t>
    </rPh>
    <rPh sb="2" eb="3">
      <t>キン</t>
    </rPh>
    <phoneticPr fontId="2"/>
  </si>
  <si>
    <t>R6</t>
    <phoneticPr fontId="2"/>
  </si>
  <si>
    <t>6φ</t>
    <phoneticPr fontId="2"/>
  </si>
  <si>
    <t>6φ</t>
    <phoneticPr fontId="2"/>
  </si>
  <si>
    <t>3φ</t>
    <phoneticPr fontId="2"/>
  </si>
  <si>
    <t>No.2</t>
    <phoneticPr fontId="2"/>
  </si>
  <si>
    <t>No.3</t>
    <phoneticPr fontId="2"/>
  </si>
  <si>
    <t>I5</t>
    <phoneticPr fontId="2"/>
  </si>
  <si>
    <t>I6</t>
    <phoneticPr fontId="2"/>
  </si>
  <si>
    <t>D10</t>
    <phoneticPr fontId="2"/>
  </si>
  <si>
    <t>D13</t>
    <phoneticPr fontId="2"/>
  </si>
  <si>
    <t>D10</t>
    <phoneticPr fontId="2"/>
  </si>
  <si>
    <t>D13</t>
    <phoneticPr fontId="2"/>
  </si>
  <si>
    <t>SD24</t>
    <phoneticPr fontId="2"/>
  </si>
  <si>
    <t>SD35</t>
    <phoneticPr fontId="2"/>
  </si>
  <si>
    <t>SD30</t>
    <phoneticPr fontId="2"/>
  </si>
  <si>
    <t>D16</t>
    <phoneticPr fontId="2"/>
  </si>
  <si>
    <t>D16</t>
    <phoneticPr fontId="2"/>
  </si>
  <si>
    <t>SD30</t>
    <phoneticPr fontId="2"/>
  </si>
  <si>
    <t>SD30</t>
    <phoneticPr fontId="2"/>
  </si>
  <si>
    <t>BJ</t>
    <phoneticPr fontId="2"/>
  </si>
  <si>
    <t>B</t>
    <phoneticPr fontId="2"/>
  </si>
  <si>
    <t>D10</t>
    <phoneticPr fontId="2"/>
  </si>
  <si>
    <t>U6.4</t>
    <phoneticPr fontId="2"/>
  </si>
  <si>
    <t>4-HD19
4-HD16</t>
    <phoneticPr fontId="2"/>
  </si>
  <si>
    <t>SD345</t>
    <phoneticPr fontId="2"/>
  </si>
  <si>
    <t>8-HD22
4-HD19</t>
    <phoneticPr fontId="2"/>
  </si>
  <si>
    <t>8-HD22
4-HD20</t>
  </si>
  <si>
    <t>8-D22
4-D20</t>
    <phoneticPr fontId="2"/>
  </si>
  <si>
    <t>8-HD22
4-HD21</t>
  </si>
  <si>
    <t>22.2
19.1</t>
  </si>
  <si>
    <t>22.2
19.1</t>
    <phoneticPr fontId="2"/>
  </si>
  <si>
    <t>SD345</t>
    <phoneticPr fontId="2"/>
  </si>
  <si>
    <t>HD8</t>
  </si>
  <si>
    <t>HD8</t>
    <phoneticPr fontId="2"/>
  </si>
  <si>
    <t>2*2-D22
2*2-D19</t>
    <phoneticPr fontId="2"/>
  </si>
  <si>
    <t>スラブ無視</t>
    <rPh sb="3" eb="5">
      <t>ムシ</t>
    </rPh>
    <phoneticPr fontId="2"/>
  </si>
  <si>
    <t>8-D22
8-D19</t>
    <phoneticPr fontId="2"/>
  </si>
  <si>
    <t>D8</t>
    <phoneticPr fontId="2"/>
  </si>
  <si>
    <t>ロ</t>
    <phoneticPr fontId="2"/>
  </si>
  <si>
    <t>D8</t>
    <phoneticPr fontId="2"/>
  </si>
  <si>
    <t>D8</t>
    <phoneticPr fontId="2"/>
  </si>
  <si>
    <t>8-D16
6-D10</t>
    <phoneticPr fontId="2"/>
  </si>
  <si>
    <t>15.9
9.53</t>
    <phoneticPr fontId="2"/>
  </si>
  <si>
    <t>φ9</t>
  </si>
  <si>
    <t>φ9</t>
    <phoneticPr fontId="2"/>
  </si>
  <si>
    <t>φ9</t>
    <phoneticPr fontId="2"/>
  </si>
  <si>
    <t>φ6</t>
  </si>
  <si>
    <t>φ6</t>
    <phoneticPr fontId="2"/>
  </si>
  <si>
    <t>φ6</t>
    <phoneticPr fontId="2"/>
  </si>
  <si>
    <t>φ6</t>
    <phoneticPr fontId="2"/>
  </si>
  <si>
    <t>D6</t>
    <phoneticPr fontId="2"/>
  </si>
  <si>
    <t>D6</t>
    <phoneticPr fontId="2"/>
  </si>
  <si>
    <t>5φ</t>
    <phoneticPr fontId="2"/>
  </si>
  <si>
    <t>6φ</t>
    <phoneticPr fontId="2"/>
  </si>
  <si>
    <t>6φ</t>
    <phoneticPr fontId="2"/>
  </si>
  <si>
    <t>U6.4</t>
    <phoneticPr fontId="2"/>
  </si>
  <si>
    <t>R6</t>
    <phoneticPr fontId="2"/>
  </si>
  <si>
    <t>R6</t>
    <phoneticPr fontId="2"/>
  </si>
  <si>
    <t>D6</t>
    <phoneticPr fontId="2"/>
  </si>
  <si>
    <t>D6</t>
    <phoneticPr fontId="2"/>
  </si>
  <si>
    <t>5.5φ</t>
    <phoneticPr fontId="2"/>
  </si>
  <si>
    <t>5.5φ</t>
    <phoneticPr fontId="2"/>
  </si>
  <si>
    <t>4-D25
2-D16</t>
    <phoneticPr fontId="2"/>
  </si>
  <si>
    <t>D6</t>
    <phoneticPr fontId="2"/>
  </si>
  <si>
    <t>4-D19
8-D22</t>
    <phoneticPr fontId="2"/>
  </si>
  <si>
    <t>19.1
22.2</t>
    <phoneticPr fontId="2"/>
  </si>
  <si>
    <t>19.1
22.2</t>
    <phoneticPr fontId="2"/>
  </si>
  <si>
    <t>D6</t>
    <phoneticPr fontId="2"/>
  </si>
  <si>
    <t>R6</t>
    <phoneticPr fontId="2"/>
  </si>
  <si>
    <t>ロ</t>
    <phoneticPr fontId="2"/>
  </si>
  <si>
    <t>D25</t>
    <phoneticPr fontId="2"/>
  </si>
  <si>
    <t>D10</t>
    <phoneticPr fontId="2"/>
  </si>
  <si>
    <t>D13</t>
    <phoneticPr fontId="2"/>
  </si>
  <si>
    <t>D25</t>
    <phoneticPr fontId="2"/>
  </si>
  <si>
    <t>ロ</t>
    <phoneticPr fontId="2"/>
  </si>
  <si>
    <t>D6</t>
    <phoneticPr fontId="2"/>
  </si>
  <si>
    <t>no</t>
    <phoneticPr fontId="2"/>
  </si>
  <si>
    <t>paper</t>
    <phoneticPr fontId="2"/>
  </si>
  <si>
    <t>sty</t>
    <phoneticPr fontId="2"/>
  </si>
  <si>
    <t>逆1段目
本数</t>
    <rPh sb="0" eb="1">
      <t>ギャク</t>
    </rPh>
    <rPh sb="2" eb="4">
      <t>ダンメ</t>
    </rPh>
    <rPh sb="5" eb="7">
      <t>ホンスウ</t>
    </rPh>
    <phoneticPr fontId="2"/>
  </si>
  <si>
    <t>逆2段目
本数</t>
    <rPh sb="0" eb="1">
      <t>ギャク</t>
    </rPh>
    <rPh sb="2" eb="4">
      <t>ダンメ</t>
    </rPh>
    <rPh sb="5" eb="7">
      <t>ホンスウ</t>
    </rPh>
    <phoneticPr fontId="2"/>
  </si>
  <si>
    <t>逆1から
の位置</t>
    <rPh sb="0" eb="1">
      <t>ギャク</t>
    </rPh>
    <rPh sb="6" eb="8">
      <t>イチ</t>
    </rPh>
    <phoneticPr fontId="2"/>
  </si>
  <si>
    <t>spc</t>
    <phoneticPr fontId="2"/>
  </si>
  <si>
    <t>No.18</t>
    <phoneticPr fontId="2"/>
  </si>
  <si>
    <t>MH</t>
    <phoneticPr fontId="2"/>
  </si>
  <si>
    <t>C3-OH</t>
    <phoneticPr fontId="2"/>
  </si>
  <si>
    <t>WJ-5</t>
    <phoneticPr fontId="2"/>
  </si>
  <si>
    <t>No.1</t>
    <phoneticPr fontId="2"/>
  </si>
  <si>
    <t>JS-48-18</t>
    <phoneticPr fontId="2"/>
  </si>
  <si>
    <t>RCM-1</t>
    <phoneticPr fontId="2"/>
  </si>
  <si>
    <t>No47</t>
    <phoneticPr fontId="2"/>
  </si>
  <si>
    <t>H4</t>
    <phoneticPr fontId="2"/>
  </si>
  <si>
    <t>AIJ</t>
    <phoneticPr fontId="2"/>
  </si>
  <si>
    <t>CSP</t>
    <phoneticPr fontId="2"/>
  </si>
  <si>
    <t>楠原 他</t>
    <rPh sb="0" eb="1">
      <t>クスノキ</t>
    </rPh>
    <rPh sb="1" eb="2">
      <t>ハラ</t>
    </rPh>
    <rPh sb="3" eb="4">
      <t>ホカ</t>
    </rPh>
    <phoneticPr fontId="2"/>
  </si>
  <si>
    <t>AIJ大会</t>
    <rPh sb="3" eb="5">
      <t>タイカイ</t>
    </rPh>
    <phoneticPr fontId="2"/>
  </si>
  <si>
    <t>目</t>
    <rPh sb="0" eb="1">
      <t>メ</t>
    </rPh>
    <phoneticPr fontId="2"/>
  </si>
  <si>
    <t>ロ</t>
    <phoneticPr fontId="2"/>
  </si>
  <si>
    <t>D6</t>
    <phoneticPr fontId="2"/>
  </si>
  <si>
    <t>HD16
HD13</t>
    <phoneticPr fontId="2"/>
  </si>
  <si>
    <t>D16
D13</t>
    <phoneticPr fontId="2"/>
  </si>
  <si>
    <t>2-D19
6-D16</t>
    <phoneticPr fontId="2"/>
  </si>
  <si>
    <t>4-D16
4-D13</t>
    <phoneticPr fontId="2"/>
  </si>
  <si>
    <t>J</t>
    <phoneticPr fontId="2"/>
  </si>
  <si>
    <t>採用・不採用</t>
    <rPh sb="0" eb="2">
      <t>サイヨウ</t>
    </rPh>
    <rPh sb="3" eb="6">
      <t>フサイヨウ</t>
    </rPh>
    <phoneticPr fontId="2"/>
  </si>
  <si>
    <t>J</t>
    <phoneticPr fontId="2"/>
  </si>
  <si>
    <t>Qdなし</t>
    <phoneticPr fontId="2"/>
  </si>
  <si>
    <t>保留</t>
    <rPh sb="0" eb="2">
      <t>ホリュウ</t>
    </rPh>
    <phoneticPr fontId="2"/>
  </si>
  <si>
    <t>データ不足</t>
    <rPh sb="3" eb="5">
      <t>フソク</t>
    </rPh>
    <phoneticPr fontId="2"/>
  </si>
  <si>
    <t>論文なし</t>
    <rPh sb="0" eb="2">
      <t>ロンブン</t>
    </rPh>
    <phoneticPr fontId="2"/>
  </si>
  <si>
    <t>J</t>
    <phoneticPr fontId="2"/>
  </si>
  <si>
    <t>dflg</t>
    <phoneticPr fontId="2"/>
  </si>
  <si>
    <t>採用=データ有&amp;QD有</t>
    <rPh sb="0" eb="2">
      <t>サイヨウ</t>
    </rPh>
    <rPh sb="6" eb="7">
      <t>アリ</t>
    </rPh>
    <rPh sb="10" eb="11">
      <t>アリ</t>
    </rPh>
    <phoneticPr fontId="2"/>
  </si>
  <si>
    <t>J1</t>
    <phoneticPr fontId="2"/>
  </si>
  <si>
    <t>2-D22
2-D19</t>
    <phoneticPr fontId="2"/>
  </si>
  <si>
    <t>D10</t>
    <phoneticPr fontId="2"/>
  </si>
  <si>
    <t>SD35</t>
    <phoneticPr fontId="2"/>
  </si>
  <si>
    <t>D16</t>
    <phoneticPr fontId="2"/>
  </si>
  <si>
    <t>BJ</t>
    <phoneticPr fontId="2"/>
  </si>
  <si>
    <t>No.4</t>
    <phoneticPr fontId="2"/>
  </si>
  <si>
    <t>No.8</t>
    <phoneticPr fontId="2"/>
  </si>
  <si>
    <t>No.11</t>
    <phoneticPr fontId="2"/>
  </si>
  <si>
    <t>No.12</t>
    <phoneticPr fontId="2"/>
  </si>
  <si>
    <t>No.5</t>
    <phoneticPr fontId="2"/>
  </si>
  <si>
    <t>J</t>
    <phoneticPr fontId="2"/>
  </si>
  <si>
    <t>D22</t>
    <phoneticPr fontId="2"/>
  </si>
  <si>
    <t>D6</t>
    <phoneticPr fontId="2"/>
  </si>
  <si>
    <t>JB1</t>
    <phoneticPr fontId="2"/>
  </si>
  <si>
    <t>D19</t>
    <phoneticPr fontId="2"/>
  </si>
  <si>
    <t>9φ</t>
    <phoneticPr fontId="2"/>
  </si>
  <si>
    <t>B1</t>
    <phoneticPr fontId="2"/>
  </si>
  <si>
    <t>B2</t>
    <phoneticPr fontId="2"/>
  </si>
  <si>
    <t>B3</t>
    <phoneticPr fontId="2"/>
  </si>
  <si>
    <t>D13</t>
    <phoneticPr fontId="2"/>
  </si>
  <si>
    <t>R6</t>
    <phoneticPr fontId="2"/>
  </si>
  <si>
    <t>D6</t>
    <phoneticPr fontId="2"/>
  </si>
  <si>
    <t>φ3.2</t>
    <phoneticPr fontId="2"/>
  </si>
  <si>
    <t>横補強筋比</t>
    <rPh sb="0" eb="1">
      <t>ヨコ</t>
    </rPh>
    <rPh sb="1" eb="4">
      <t>ホキョウキン</t>
    </rPh>
    <rPh sb="4" eb="5">
      <t>ヒ</t>
    </rPh>
    <phoneticPr fontId="2"/>
  </si>
  <si>
    <t>%</t>
    <phoneticPr fontId="2"/>
  </si>
  <si>
    <t>D8</t>
    <phoneticPr fontId="2"/>
  </si>
  <si>
    <t>D10</t>
    <phoneticPr fontId="2"/>
  </si>
  <si>
    <t>U5</t>
  </si>
  <si>
    <t>U5</t>
    <phoneticPr fontId="2"/>
  </si>
  <si>
    <t>U6.4</t>
    <phoneticPr fontId="2"/>
  </si>
  <si>
    <t>D6</t>
    <phoneticPr fontId="2"/>
  </si>
  <si>
    <t>D13</t>
    <phoneticPr fontId="2"/>
  </si>
  <si>
    <t>-</t>
    <phoneticPr fontId="2"/>
  </si>
  <si>
    <t>φ5</t>
  </si>
  <si>
    <t>φ5</t>
    <phoneticPr fontId="2"/>
  </si>
  <si>
    <t>HD8</t>
    <phoneticPr fontId="2"/>
  </si>
  <si>
    <t>6.3φ</t>
    <phoneticPr fontId="2"/>
  </si>
  <si>
    <t>13φ</t>
    <phoneticPr fontId="2"/>
  </si>
  <si>
    <t>9φ</t>
    <phoneticPr fontId="2"/>
  </si>
  <si>
    <t>U7.4</t>
    <phoneticPr fontId="2"/>
  </si>
  <si>
    <t>D6</t>
    <phoneticPr fontId="2"/>
  </si>
  <si>
    <t>U11</t>
    <phoneticPr fontId="2"/>
  </si>
  <si>
    <t>D10</t>
    <phoneticPr fontId="2"/>
  </si>
  <si>
    <t>U5.1</t>
    <phoneticPr fontId="2"/>
  </si>
  <si>
    <t>RB7.1</t>
    <phoneticPr fontId="2"/>
  </si>
  <si>
    <t>囲？？</t>
    <rPh sb="0" eb="1">
      <t>カコ</t>
    </rPh>
    <phoneticPr fontId="2"/>
  </si>
  <si>
    <t>S6</t>
    <phoneticPr fontId="2"/>
  </si>
  <si>
    <t>四</t>
    <rPh sb="0" eb="1">
      <t>ヨン</t>
    </rPh>
    <phoneticPr fontId="2"/>
  </si>
  <si>
    <t>U9</t>
    <phoneticPr fontId="2"/>
  </si>
  <si>
    <t>U7.1</t>
    <phoneticPr fontId="2"/>
  </si>
  <si>
    <t>U6.4</t>
    <phoneticPr fontId="2"/>
  </si>
  <si>
    <t>S6</t>
    <phoneticPr fontId="2"/>
  </si>
  <si>
    <t>D6</t>
    <phoneticPr fontId="2"/>
  </si>
  <si>
    <t>D10</t>
    <phoneticPr fontId="2"/>
  </si>
  <si>
    <t>UHD6</t>
    <phoneticPr fontId="2"/>
  </si>
  <si>
    <t>四</t>
    <rPh sb="0" eb="1">
      <t>ヨン</t>
    </rPh>
    <phoneticPr fontId="2"/>
  </si>
  <si>
    <t>-</t>
    <phoneticPr fontId="2"/>
  </si>
  <si>
    <t>口</t>
    <phoneticPr fontId="2"/>
  </si>
  <si>
    <t>fc_b</t>
  </si>
  <si>
    <t>fc</t>
  </si>
  <si>
    <t>L</t>
  </si>
  <si>
    <t>H</t>
  </si>
  <si>
    <t>Nb</t>
  </si>
  <si>
    <t>Nc</t>
  </si>
  <si>
    <t>Db</t>
  </si>
  <si>
    <t>Diab</t>
  </si>
  <si>
    <t>a_b</t>
  </si>
  <si>
    <t>Esb</t>
  </si>
  <si>
    <t>name3</t>
  </si>
  <si>
    <t>picb</t>
  </si>
  <si>
    <t>Diabw</t>
  </si>
  <si>
    <t>st2</t>
  </si>
  <si>
    <t>E2</t>
  </si>
  <si>
    <t>d_top1b</t>
  </si>
  <si>
    <t>d_top2b</t>
  </si>
  <si>
    <t>d_btm1b</t>
  </si>
  <si>
    <t>d_btm2b</t>
  </si>
  <si>
    <t>Dc</t>
  </si>
  <si>
    <t>Esc</t>
  </si>
  <si>
    <t>picc</t>
  </si>
  <si>
    <t>d_top1c</t>
  </si>
  <si>
    <t>d_top2c</t>
  </si>
  <si>
    <t>d_btm1c</t>
  </si>
  <si>
    <t>d_btm2c</t>
  </si>
  <si>
    <t>Esh</t>
  </si>
  <si>
    <t>pwh</t>
  </si>
  <si>
    <t>杉本 他</t>
    <rPh sb="0" eb="2">
      <t>スギモト</t>
    </rPh>
    <rPh sb="3" eb="4">
      <t>ホカ</t>
    </rPh>
    <phoneticPr fontId="2"/>
  </si>
  <si>
    <t>J-00</t>
  </si>
  <si>
    <t>高橋 他</t>
    <rPh sb="0" eb="2">
      <t>タカハシ</t>
    </rPh>
    <rPh sb="3" eb="4">
      <t>ホカ</t>
    </rPh>
    <phoneticPr fontId="2"/>
  </si>
  <si>
    <t>J1L</t>
  </si>
  <si>
    <t>J1N</t>
  </si>
  <si>
    <t>J2L</t>
  </si>
  <si>
    <t>J2N</t>
  </si>
  <si>
    <t>J3L</t>
  </si>
  <si>
    <t>J3N</t>
  </si>
  <si>
    <t>尾崎 他</t>
    <rPh sb="0" eb="2">
      <t>オザキ</t>
    </rPh>
    <rPh sb="3" eb="4">
      <t>ホカ</t>
    </rPh>
    <phoneticPr fontId="2"/>
  </si>
  <si>
    <t>JCI年次</t>
    <rPh sb="3" eb="5">
      <t>ネンジ</t>
    </rPh>
    <phoneticPr fontId="2"/>
  </si>
  <si>
    <t>無偏心</t>
    <rPh sb="0" eb="3">
      <t>ムヘンシン</t>
    </rPh>
    <phoneticPr fontId="2"/>
  </si>
  <si>
    <t>田尻 他</t>
    <rPh sb="0" eb="2">
      <t>タジリ</t>
    </rPh>
    <rPh sb="3" eb="4">
      <t>ホカ</t>
    </rPh>
    <phoneticPr fontId="2"/>
  </si>
  <si>
    <t>No4</t>
  </si>
  <si>
    <t>SD295A</t>
  </si>
  <si>
    <t>AIJ大会</t>
    <rPh sb="3" eb="5">
      <t>タイカイ</t>
    </rPh>
    <phoneticPr fontId="3"/>
  </si>
  <si>
    <t>No7</t>
  </si>
  <si>
    <t>鈴木 他</t>
    <rPh sb="0" eb="2">
      <t>スズキ</t>
    </rPh>
    <rPh sb="3" eb="4">
      <t>ホカ</t>
    </rPh>
    <phoneticPr fontId="2"/>
  </si>
  <si>
    <t>構工論</t>
    <rPh sb="0" eb="1">
      <t>カマ</t>
    </rPh>
    <rPh sb="1" eb="2">
      <t>コウ</t>
    </rPh>
    <rPh sb="2" eb="3">
      <t>ロン</t>
    </rPh>
    <phoneticPr fontId="2"/>
  </si>
  <si>
    <t>HS</t>
  </si>
  <si>
    <t>グラフ読み取れず</t>
    <rPh sb="3" eb="4">
      <t>ヨ</t>
    </rPh>
    <rPh sb="5" eb="6">
      <t>ト</t>
    </rPh>
    <phoneticPr fontId="2"/>
  </si>
  <si>
    <t>佐藤 他</t>
    <rPh sb="0" eb="2">
      <t>サトウ</t>
    </rPh>
    <rPh sb="3" eb="4">
      <t>ホカ</t>
    </rPh>
    <phoneticPr fontId="2"/>
  </si>
  <si>
    <t>澤田 他</t>
    <rPh sb="0" eb="2">
      <t>サワダ</t>
    </rPh>
    <rPh sb="3" eb="4">
      <t>ホカ</t>
    </rPh>
    <phoneticPr fontId="2"/>
  </si>
  <si>
    <t>J1A</t>
  </si>
  <si>
    <t>載荷履歴が複雑，グラフ読み取れず</t>
    <rPh sb="0" eb="4">
      <t>サイカリレキ</t>
    </rPh>
    <rPh sb="5" eb="7">
      <t>フクザツ</t>
    </rPh>
    <rPh sb="11" eb="12">
      <t>ヨ</t>
    </rPh>
    <rPh sb="13" eb="14">
      <t>ト</t>
    </rPh>
    <phoneticPr fontId="2"/>
  </si>
  <si>
    <t>楠原 他</t>
    <rPh sb="0" eb="2">
      <t>クスハラ</t>
    </rPh>
    <rPh sb="3" eb="4">
      <t>ホカ</t>
    </rPh>
    <phoneticPr fontId="2"/>
  </si>
  <si>
    <t>F01</t>
  </si>
  <si>
    <t>F03</t>
  </si>
  <si>
    <t>石木 他</t>
    <rPh sb="0" eb="2">
      <t>イシキ</t>
    </rPh>
    <rPh sb="3" eb="4">
      <t>ホカ</t>
    </rPh>
    <phoneticPr fontId="2"/>
  </si>
  <si>
    <t>佐川 他</t>
    <rPh sb="0" eb="2">
      <t>サガワ</t>
    </rPh>
    <rPh sb="3" eb="4">
      <t>ホカ</t>
    </rPh>
    <phoneticPr fontId="2"/>
  </si>
  <si>
    <t>LJ-1N</t>
  </si>
  <si>
    <t>LJ-1L</t>
  </si>
  <si>
    <t>LJ-3N</t>
  </si>
  <si>
    <t>LJ-3L</t>
  </si>
  <si>
    <t>LJ-4</t>
  </si>
  <si>
    <t>LJ-5</t>
  </si>
  <si>
    <t>澤口 他</t>
    <rPh sb="0" eb="2">
      <t>サワグチ</t>
    </rPh>
    <rPh sb="3" eb="4">
      <t>ホカ</t>
    </rPh>
    <phoneticPr fontId="2"/>
  </si>
  <si>
    <t>AIJ論報</t>
    <rPh sb="3" eb="4">
      <t>ロン</t>
    </rPh>
    <rPh sb="4" eb="5">
      <t>ホウ</t>
    </rPh>
    <phoneticPr fontId="2"/>
  </si>
  <si>
    <t>1N</t>
  </si>
  <si>
    <t>1L</t>
  </si>
  <si>
    <t>2N</t>
  </si>
  <si>
    <t>UD50</t>
  </si>
  <si>
    <t>2L</t>
  </si>
  <si>
    <t>中村 他</t>
    <rPh sb="0" eb="2">
      <t>ナカムラ</t>
    </rPh>
    <rPh sb="3" eb="4">
      <t>ホカ</t>
    </rPh>
    <phoneticPr fontId="2"/>
  </si>
  <si>
    <t>構工論</t>
    <rPh sb="0" eb="1">
      <t>コウ</t>
    </rPh>
    <rPh sb="1" eb="2">
      <t>コウ</t>
    </rPh>
    <rPh sb="2" eb="3">
      <t>ロン</t>
    </rPh>
    <phoneticPr fontId="2"/>
  </si>
  <si>
    <t>IJ</t>
  </si>
  <si>
    <t>梁が偏心している。包絡線は1サイクル目ピークのみ。接合部の補強筋数がちゃんと確認できない</t>
    <rPh sb="0" eb="1">
      <t>ハリ</t>
    </rPh>
    <rPh sb="2" eb="4">
      <t>ヘンシン</t>
    </rPh>
    <rPh sb="9" eb="12">
      <t>ホウラクセン</t>
    </rPh>
    <rPh sb="18" eb="19">
      <t>メ</t>
    </rPh>
    <rPh sb="25" eb="28">
      <t>セツゴウブ</t>
    </rPh>
    <rPh sb="29" eb="32">
      <t>ホキョウキン</t>
    </rPh>
    <rPh sb="32" eb="33">
      <t>スウ</t>
    </rPh>
    <rPh sb="38" eb="40">
      <t>カクニン</t>
    </rPh>
    <phoneticPr fontId="2"/>
  </si>
  <si>
    <t>西倉 他</t>
    <rPh sb="0" eb="2">
      <t>ニシクラ</t>
    </rPh>
    <rPh sb="3" eb="4">
      <t>ホカ</t>
    </rPh>
    <phoneticPr fontId="2"/>
  </si>
  <si>
    <t>SP-J0</t>
  </si>
  <si>
    <t>H01</t>
  </si>
  <si>
    <t>H02</t>
  </si>
  <si>
    <t>D6+D10</t>
  </si>
  <si>
    <t>接合部補強筋はD6が2本，D10 が2本。断面積は平均値，降伏強度は，ΣAwFyが等しくなるように設定。</t>
    <rPh sb="0" eb="3">
      <t>セツゴウブ</t>
    </rPh>
    <rPh sb="3" eb="5">
      <t>ホキョウ</t>
    </rPh>
    <rPh sb="5" eb="6">
      <t>キン</t>
    </rPh>
    <rPh sb="11" eb="12">
      <t>ホン</t>
    </rPh>
    <rPh sb="19" eb="20">
      <t>ホン</t>
    </rPh>
    <rPh sb="21" eb="24">
      <t>ダンメンセキ</t>
    </rPh>
    <rPh sb="25" eb="28">
      <t>ヘイキンチ</t>
    </rPh>
    <rPh sb="29" eb="33">
      <t>コウフクキョウド</t>
    </rPh>
    <rPh sb="41" eb="42">
      <t>ヒト</t>
    </rPh>
    <rPh sb="49" eb="51">
      <t>セッテイ</t>
    </rPh>
    <phoneticPr fontId="2"/>
  </si>
  <si>
    <t>澤木 他</t>
    <rPh sb="0" eb="2">
      <t>サワキ</t>
    </rPh>
    <rPh sb="3" eb="4">
      <t>ホカ</t>
    </rPh>
    <phoneticPr fontId="2"/>
  </si>
  <si>
    <t>B-heat</t>
  </si>
  <si>
    <t>SD390H</t>
  </si>
  <si>
    <t>竹内 他</t>
    <rPh sb="0" eb="2">
      <t>タケウチ</t>
    </rPh>
    <rPh sb="3" eb="4">
      <t>ホカ</t>
    </rPh>
    <phoneticPr fontId="2"/>
  </si>
  <si>
    <t>グラフは画像</t>
    <rPh sb="4" eb="6">
      <t>ガゾウ</t>
    </rPh>
    <phoneticPr fontId="2"/>
  </si>
  <si>
    <t>焦 他</t>
    <rPh sb="0" eb="1">
      <t>ショウ</t>
    </rPh>
    <rPh sb="2" eb="3">
      <t>ホカ</t>
    </rPh>
    <phoneticPr fontId="2"/>
  </si>
  <si>
    <t>I01</t>
  </si>
  <si>
    <t>I02</t>
  </si>
  <si>
    <t>川嶋 他</t>
    <rPh sb="0" eb="2">
      <t>カワシマ</t>
    </rPh>
    <rPh sb="3" eb="4">
      <t>ホカ</t>
    </rPh>
    <phoneticPr fontId="2"/>
  </si>
  <si>
    <t>諏訪田 他</t>
    <rPh sb="4" eb="5">
      <t>ホカ</t>
    </rPh>
    <phoneticPr fontId="2"/>
  </si>
  <si>
    <t>0D-1.0</t>
  </si>
  <si>
    <t>0D-1.5</t>
  </si>
  <si>
    <t>五十嵐 他</t>
    <rPh sb="0" eb="3">
      <t>イガラシ</t>
    </rPh>
    <rPh sb="4" eb="5">
      <t>ホカ</t>
    </rPh>
    <phoneticPr fontId="2"/>
  </si>
  <si>
    <t>R01-I</t>
  </si>
  <si>
    <t>16Φ</t>
  </si>
  <si>
    <t>SR235</t>
  </si>
  <si>
    <t>主筋丸鋼</t>
    <rPh sb="0" eb="2">
      <t>シュキン</t>
    </rPh>
    <rPh sb="2" eb="4">
      <t>マルコウ</t>
    </rPh>
    <phoneticPr fontId="2"/>
  </si>
  <si>
    <t>D01-I</t>
  </si>
  <si>
    <t>R03-I</t>
  </si>
  <si>
    <t>SD235</t>
  </si>
  <si>
    <t>佐々木 他</t>
    <rPh sb="0" eb="3">
      <t>ササキ</t>
    </rPh>
    <rPh sb="4" eb="5">
      <t>ホカ</t>
    </rPh>
    <phoneticPr fontId="2"/>
  </si>
  <si>
    <t>1S</t>
  </si>
  <si>
    <t>繰り返し10回，静的。包絡線は1サイクル目のみ</t>
    <rPh sb="0" eb="1">
      <t>ク</t>
    </rPh>
    <rPh sb="2" eb="3">
      <t>カエ</t>
    </rPh>
    <rPh sb="6" eb="7">
      <t>カイ</t>
    </rPh>
    <rPh sb="8" eb="10">
      <t>セイテキ</t>
    </rPh>
    <rPh sb="11" eb="14">
      <t>ホウラクセン</t>
    </rPh>
    <rPh sb="20" eb="21">
      <t>メ</t>
    </rPh>
    <phoneticPr fontId="2"/>
  </si>
  <si>
    <t>1D</t>
  </si>
  <si>
    <t>繰り返し10回，動的。包絡線は1サイクル目のみ</t>
    <rPh sb="0" eb="1">
      <t>ク</t>
    </rPh>
    <rPh sb="2" eb="3">
      <t>カエ</t>
    </rPh>
    <rPh sb="6" eb="7">
      <t>カイ</t>
    </rPh>
    <rPh sb="8" eb="10">
      <t>ドウテキ</t>
    </rPh>
    <phoneticPr fontId="2"/>
  </si>
  <si>
    <t>2S</t>
  </si>
  <si>
    <t>繰り返し10回，静的。包絡線は1サイクル目のみ</t>
    <rPh sb="0" eb="1">
      <t>ク</t>
    </rPh>
    <rPh sb="2" eb="3">
      <t>カエ</t>
    </rPh>
    <rPh sb="6" eb="7">
      <t>カイ</t>
    </rPh>
    <rPh sb="8" eb="10">
      <t>セイテキ</t>
    </rPh>
    <phoneticPr fontId="2"/>
  </si>
  <si>
    <t>2D</t>
  </si>
  <si>
    <t>繰り返し10回，動的。包絡線は1サイクル目のみ</t>
    <rPh sb="0" eb="1">
      <t>ク</t>
    </rPh>
    <rPh sb="2" eb="3">
      <t>カエ</t>
    </rPh>
    <rPh sb="6" eb="7">
      <t>カイ</t>
    </rPh>
    <phoneticPr fontId="2"/>
  </si>
  <si>
    <t>高津 他</t>
    <rPh sb="0" eb="2">
      <t>タカツ</t>
    </rPh>
    <rPh sb="3" eb="4">
      <t>ホカ</t>
    </rPh>
    <phoneticPr fontId="2"/>
  </si>
  <si>
    <t>BCH-J5</t>
  </si>
  <si>
    <t>囲</t>
    <rPh sb="0" eb="1">
      <t>イ</t>
    </rPh>
    <phoneticPr fontId="2"/>
  </si>
  <si>
    <t>高炉スラグ入りセメント，PP繊維含む，Pca，柱継手あり</t>
    <rPh sb="0" eb="2">
      <t>コウロ</t>
    </rPh>
    <rPh sb="5" eb="6">
      <t>イ</t>
    </rPh>
    <rPh sb="14" eb="16">
      <t>センイ</t>
    </rPh>
    <rPh sb="16" eb="17">
      <t>フク</t>
    </rPh>
    <rPh sb="23" eb="24">
      <t>ハシラ</t>
    </rPh>
    <rPh sb="24" eb="26">
      <t>ツギテ</t>
    </rPh>
    <phoneticPr fontId="2"/>
  </si>
  <si>
    <t>M-J6</t>
  </si>
  <si>
    <t>中庸熱セメント，PP繊維含む，Pca，柱継手あり</t>
    <rPh sb="0" eb="3">
      <t>チュウヨウネツ</t>
    </rPh>
    <rPh sb="19" eb="20">
      <t>ハシラ</t>
    </rPh>
    <rPh sb="20" eb="22">
      <t>ツギテ</t>
    </rPh>
    <phoneticPr fontId="2"/>
  </si>
  <si>
    <t>岸田 他</t>
    <rPh sb="0" eb="2">
      <t>キシダ</t>
    </rPh>
    <rPh sb="3" eb="4">
      <t>ホカ</t>
    </rPh>
    <phoneticPr fontId="2"/>
  </si>
  <si>
    <t>A-1</t>
  </si>
  <si>
    <t>D-1</t>
  </si>
  <si>
    <t>周 他</t>
    <rPh sb="0" eb="1">
      <t>シュウ</t>
    </rPh>
    <rPh sb="2" eb="3">
      <t>ホカ</t>
    </rPh>
    <phoneticPr fontId="2"/>
  </si>
  <si>
    <t>I04</t>
  </si>
  <si>
    <t>I06</t>
  </si>
  <si>
    <t>董 他</t>
    <rPh sb="0" eb="1">
      <t>トウ</t>
    </rPh>
    <rPh sb="2" eb="3">
      <t>ホカ</t>
    </rPh>
    <phoneticPr fontId="2"/>
  </si>
  <si>
    <t>D4</t>
  </si>
  <si>
    <t>各サイクル1回のみ</t>
    <rPh sb="0" eb="1">
      <t>カク</t>
    </rPh>
    <rPh sb="6" eb="7">
      <t>カイ</t>
    </rPh>
    <phoneticPr fontId="2"/>
  </si>
  <si>
    <t>岩田 他</t>
    <rPh sb="0" eb="2">
      <t>イワタ</t>
    </rPh>
    <rPh sb="3" eb="4">
      <t>ホカ</t>
    </rPh>
    <phoneticPr fontId="2"/>
  </si>
  <si>
    <t>せん断補強筋の間隔は図から読み取り，図の読み取り困難</t>
    <rPh sb="2" eb="6">
      <t>ダンホキョウキン</t>
    </rPh>
    <rPh sb="7" eb="9">
      <t>カンカク</t>
    </rPh>
    <rPh sb="10" eb="11">
      <t>ズ</t>
    </rPh>
    <rPh sb="13" eb="14">
      <t>ヨ</t>
    </rPh>
    <rPh sb="15" eb="16">
      <t>ト</t>
    </rPh>
    <rPh sb="18" eb="19">
      <t>ズ</t>
    </rPh>
    <rPh sb="20" eb="21">
      <t>ヨ</t>
    </rPh>
    <rPh sb="22" eb="23">
      <t>ト</t>
    </rPh>
    <rPh sb="24" eb="26">
      <t>コンナン</t>
    </rPh>
    <phoneticPr fontId="2"/>
  </si>
  <si>
    <t>上野 他</t>
    <rPh sb="0" eb="2">
      <t>ウエノ</t>
    </rPh>
    <rPh sb="3" eb="4">
      <t>ホカ</t>
    </rPh>
    <phoneticPr fontId="2"/>
  </si>
  <si>
    <t>n_top1b</t>
    <phoneticPr fontId="2"/>
  </si>
  <si>
    <t>n_top2b</t>
    <phoneticPr fontId="2"/>
  </si>
  <si>
    <t>n_btm1b</t>
    <phoneticPr fontId="2"/>
  </si>
  <si>
    <t>n_btm2b</t>
    <phoneticPr fontId="2"/>
  </si>
  <si>
    <t>b_b</t>
    <phoneticPr fontId="2"/>
  </si>
  <si>
    <t>sigma_by</t>
    <phoneticPr fontId="2"/>
  </si>
  <si>
    <t>n_top1c</t>
    <phoneticPr fontId="2"/>
  </si>
  <si>
    <t>n_top2c</t>
    <phoneticPr fontId="2"/>
  </si>
  <si>
    <t>n_btm1c</t>
    <phoneticPr fontId="2"/>
  </si>
  <si>
    <t>n_btm2c</t>
    <phoneticPr fontId="2"/>
  </si>
  <si>
    <t>n_m</t>
    <phoneticPr fontId="2"/>
  </si>
  <si>
    <t>b_c</t>
    <phoneticPr fontId="2"/>
  </si>
  <si>
    <t>sigma_cy</t>
    <phoneticPr fontId="2"/>
  </si>
  <si>
    <t>fc_c</t>
    <phoneticPr fontId="2"/>
  </si>
  <si>
    <t>n_h</t>
    <phoneticPr fontId="2"/>
  </si>
  <si>
    <t>a_h</t>
    <phoneticPr fontId="2"/>
  </si>
  <si>
    <t>sigma_hy</t>
    <phoneticPr fontId="2"/>
  </si>
  <si>
    <t>a_c</t>
    <phoneticPr fontId="2"/>
  </si>
  <si>
    <t>7φ</t>
  </si>
  <si>
    <r>
      <t>目</t>
    </r>
    <r>
      <rPr>
        <sz val="11"/>
        <color rgb="FFFF0000"/>
        <rFont val="游ゴシック"/>
        <family val="3"/>
        <charset val="128"/>
        <scheme val="minor"/>
      </rPr>
      <t>2重</t>
    </r>
    <rPh sb="0" eb="1">
      <t>メ</t>
    </rPh>
    <rPh sb="2" eb="3">
      <t>ジュウ</t>
    </rPh>
    <phoneticPr fontId="2"/>
  </si>
  <si>
    <r>
      <t>ロ</t>
    </r>
    <r>
      <rPr>
        <sz val="11"/>
        <color rgb="FFFF0000"/>
        <rFont val="游ゴシック"/>
        <family val="3"/>
        <charset val="128"/>
        <scheme val="minor"/>
      </rPr>
      <t>2重</t>
    </r>
    <rPh sb="2" eb="3">
      <t>ジュウ</t>
    </rPh>
    <phoneticPr fontId="2"/>
  </si>
  <si>
    <t>D6</t>
    <phoneticPr fontId="2"/>
  </si>
  <si>
    <t>D10</t>
    <phoneticPr fontId="2"/>
  </si>
  <si>
    <t>S13</t>
  </si>
  <si>
    <t>S5</t>
  </si>
  <si>
    <t>U9</t>
  </si>
  <si>
    <t>bc</t>
    <phoneticPr fontId="2"/>
  </si>
  <si>
    <t>Diac</t>
    <phoneticPr fontId="2"/>
  </si>
  <si>
    <t>n_c</t>
    <phoneticPr fontId="2"/>
  </si>
  <si>
    <t>Diacw</t>
    <phoneticPr fontId="2"/>
  </si>
  <si>
    <t>st3</t>
    <phoneticPr fontId="2"/>
  </si>
  <si>
    <t>E3</t>
    <phoneticPr fontId="2"/>
  </si>
  <si>
    <t>n_pic</t>
    <phoneticPr fontId="2"/>
  </si>
  <si>
    <t>a_h2</t>
    <phoneticPr fontId="2"/>
  </si>
  <si>
    <t>bwbars</t>
    <phoneticPr fontId="2"/>
  </si>
  <si>
    <t>n_b</t>
    <phoneticPr fontId="2"/>
  </si>
  <si>
    <t>author</t>
    <phoneticPr fontId="2"/>
  </si>
  <si>
    <t>year</t>
    <phoneticPr fontId="2"/>
  </si>
  <si>
    <t>C03-S</t>
    <phoneticPr fontId="2"/>
  </si>
  <si>
    <t>C03-D</t>
    <phoneticPr fontId="2"/>
  </si>
  <si>
    <t>対象外(グラフが接合部変形角，載荷履歴が複雑など）</t>
    <rPh sb="0" eb="3">
      <t>タイショウガイ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</si>
</sst>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" borderId="0" xfId="0" applyFill="1">
      <alignment vertical="center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4" borderId="0" xfId="0" applyFill="1">
      <alignment vertical="center"/>
    </xf>
    <xf numFmtId="0" fontId="0" fillId="5" borderId="0" xfId="0" applyFill="1">
      <alignment vertical="center"/>
    </xf>
    <xf numFmtId="0" fontId="0" fillId="5" borderId="0" xfId="0" applyFill="1" applyBorder="1">
      <alignment vertical="center"/>
    </xf>
    <xf numFmtId="0" fontId="0" fillId="0" borderId="3" xfId="0" applyBorder="1">
      <alignment vertical="center"/>
    </xf>
    <xf numFmtId="0" fontId="0" fillId="0" borderId="3" xfId="0" applyFill="1" applyBorder="1">
      <alignment vertical="center"/>
    </xf>
    <xf numFmtId="0" fontId="5" fillId="0" borderId="0" xfId="0" applyFont="1">
      <alignment vertical="center"/>
    </xf>
    <xf numFmtId="0" fontId="0" fillId="0" borderId="0" xfId="0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 wrapText="1"/>
    </xf>
    <xf numFmtId="0" fontId="0" fillId="0" borderId="0" xfId="0" applyFill="1" applyAlignment="1">
      <alignment vertical="top"/>
    </xf>
    <xf numFmtId="0" fontId="5" fillId="0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0" borderId="0" xfId="0" applyFont="1">
      <alignment vertical="center"/>
    </xf>
    <xf numFmtId="0" fontId="0" fillId="7" borderId="0" xfId="0" applyFill="1">
      <alignment vertical="center"/>
    </xf>
    <xf numFmtId="0" fontId="6" fillId="7" borderId="0" xfId="0" applyFont="1" applyFill="1">
      <alignment vertical="center"/>
    </xf>
    <xf numFmtId="0" fontId="6" fillId="7" borderId="1" xfId="0" applyFont="1" applyFill="1" applyBorder="1">
      <alignment vertical="center"/>
    </xf>
    <xf numFmtId="0" fontId="0" fillId="7" borderId="1" xfId="0" applyFill="1" applyBorder="1">
      <alignment vertical="center"/>
    </xf>
    <xf numFmtId="0" fontId="0" fillId="7" borderId="2" xfId="0" applyFill="1" applyBorder="1">
      <alignment vertical="center"/>
    </xf>
    <xf numFmtId="0" fontId="7" fillId="0" borderId="0" xfId="0" applyFont="1" applyFill="1">
      <alignment vertical="center"/>
    </xf>
    <xf numFmtId="0" fontId="0" fillId="3" borderId="0" xfId="0" applyFill="1">
      <alignment vertical="center"/>
    </xf>
    <xf numFmtId="0" fontId="0" fillId="3" borderId="0" xfId="0" applyFill="1" applyBorder="1">
      <alignment vertical="center"/>
    </xf>
    <xf numFmtId="0" fontId="0" fillId="3" borderId="3" xfId="0" applyFill="1" applyBorder="1">
      <alignment vertical="center"/>
    </xf>
    <xf numFmtId="0" fontId="5" fillId="3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0" fillId="2" borderId="0" xfId="0" applyFill="1" applyBorder="1">
      <alignment vertical="center"/>
    </xf>
    <xf numFmtId="0" fontId="7" fillId="0" borderId="0" xfId="0" applyFont="1" applyFill="1" applyBorder="1">
      <alignment vertical="center"/>
    </xf>
    <xf numFmtId="0" fontId="5" fillId="2" borderId="0" xfId="0" applyFont="1" applyFill="1" applyBorder="1">
      <alignment vertical="center"/>
    </xf>
    <xf numFmtId="0" fontId="0" fillId="0" borderId="0" xfId="0" applyFont="1">
      <alignment vertical="center"/>
    </xf>
    <xf numFmtId="0" fontId="5" fillId="5" borderId="0" xfId="0" applyFon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0" fillId="0" borderId="0" xfId="0" applyAlignment="1">
      <alignment horizontal="right" vertical="center" wrapText="1"/>
    </xf>
    <xf numFmtId="0" fontId="5" fillId="0" borderId="2" xfId="0" applyFont="1" applyBorder="1">
      <alignment vertical="center"/>
    </xf>
    <xf numFmtId="0" fontId="0" fillId="0" borderId="0" xfId="0" applyFill="1" applyBorder="1" applyAlignment="1">
      <alignment vertical="center" wrapText="1"/>
    </xf>
    <xf numFmtId="0" fontId="8" fillId="2" borderId="0" xfId="0" applyFont="1" applyFill="1">
      <alignment vertical="center"/>
    </xf>
    <xf numFmtId="0" fontId="8" fillId="2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0" fillId="2" borderId="2" xfId="0" applyFill="1" applyBorder="1">
      <alignment vertical="center"/>
    </xf>
    <xf numFmtId="0" fontId="5" fillId="0" borderId="0" xfId="0" applyFont="1" applyAlignment="1">
      <alignment horizontal="right" vertical="center" wrapText="1"/>
    </xf>
    <xf numFmtId="0" fontId="0" fillId="8" borderId="0" xfId="0" applyFill="1">
      <alignment vertical="center"/>
    </xf>
    <xf numFmtId="0" fontId="0" fillId="9" borderId="0" xfId="0" applyFill="1">
      <alignment vertical="center"/>
    </xf>
    <xf numFmtId="0" fontId="0" fillId="9" borderId="0" xfId="0" applyFill="1" applyAlignment="1">
      <alignment horizontal="center" vertical="center"/>
    </xf>
    <xf numFmtId="0" fontId="0" fillId="9" borderId="1" xfId="0" applyFill="1" applyBorder="1">
      <alignment vertical="center"/>
    </xf>
    <xf numFmtId="0" fontId="0" fillId="9" borderId="2" xfId="0" applyFill="1" applyBorder="1">
      <alignment vertical="center"/>
    </xf>
    <xf numFmtId="0" fontId="0" fillId="9" borderId="0" xfId="0" applyFill="1" applyBorder="1">
      <alignment vertical="center"/>
    </xf>
    <xf numFmtId="0" fontId="7" fillId="2" borderId="0" xfId="0" applyFont="1" applyFill="1">
      <alignment vertical="center"/>
    </xf>
    <xf numFmtId="0" fontId="0" fillId="2" borderId="0" xfId="0" applyFill="1" applyAlignment="1">
      <alignment vertical="center" wrapText="1"/>
    </xf>
    <xf numFmtId="0" fontId="0" fillId="10" borderId="4" xfId="0" applyFill="1" applyBorder="1">
      <alignment vertical="center"/>
    </xf>
    <xf numFmtId="0" fontId="0" fillId="10" borderId="5" xfId="0" applyFill="1" applyBorder="1">
      <alignment vertical="center"/>
    </xf>
    <xf numFmtId="0" fontId="0" fillId="10" borderId="6" xfId="0" applyFill="1" applyBorder="1">
      <alignment vertical="center"/>
    </xf>
    <xf numFmtId="0" fontId="0" fillId="10" borderId="7" xfId="0" applyFill="1" applyBorder="1">
      <alignment vertical="center"/>
    </xf>
    <xf numFmtId="0" fontId="0" fillId="10" borderId="0" xfId="0" applyFill="1" applyBorder="1">
      <alignment vertical="center"/>
    </xf>
    <xf numFmtId="0" fontId="0" fillId="10" borderId="8" xfId="0" applyFill="1" applyBorder="1">
      <alignment vertical="center"/>
    </xf>
    <xf numFmtId="0" fontId="0" fillId="10" borderId="9" xfId="0" applyFill="1" applyBorder="1">
      <alignment vertical="center"/>
    </xf>
    <xf numFmtId="0" fontId="0" fillId="10" borderId="3" xfId="0" applyFill="1" applyBorder="1">
      <alignment vertical="center"/>
    </xf>
    <xf numFmtId="0" fontId="0" fillId="10" borderId="10" xfId="0" applyFill="1" applyBorder="1">
      <alignment vertical="center"/>
    </xf>
    <xf numFmtId="0" fontId="0" fillId="7" borderId="0" xfId="0" applyFill="1" applyAlignment="1">
      <alignment vertical="center" wrapText="1"/>
    </xf>
    <xf numFmtId="0" fontId="5" fillId="7" borderId="0" xfId="0" applyFont="1" applyFill="1">
      <alignment vertical="center"/>
    </xf>
    <xf numFmtId="0" fontId="5" fillId="7" borderId="1" xfId="0" applyFont="1" applyFill="1" applyBorder="1">
      <alignment vertical="center"/>
    </xf>
    <xf numFmtId="0" fontId="0" fillId="2" borderId="1" xfId="0" applyFill="1" applyBorder="1">
      <alignment vertical="center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6" fillId="0" borderId="0" xfId="0" applyFont="1" applyFill="1">
      <alignment vertical="center"/>
    </xf>
    <xf numFmtId="0" fontId="6" fillId="0" borderId="0" xfId="0" applyFont="1">
      <alignment vertical="center"/>
    </xf>
    <xf numFmtId="0" fontId="6" fillId="2" borderId="0" xfId="0" applyFont="1" applyFill="1">
      <alignment vertical="center"/>
    </xf>
    <xf numFmtId="0" fontId="6" fillId="7" borderId="2" xfId="0" applyFont="1" applyFill="1" applyBorder="1">
      <alignment vertical="center"/>
    </xf>
    <xf numFmtId="0" fontId="6" fillId="7" borderId="0" xfId="0" applyFont="1" applyFill="1" applyBorder="1">
      <alignment vertical="center"/>
    </xf>
    <xf numFmtId="0" fontId="6" fillId="5" borderId="0" xfId="0" applyFont="1" applyFill="1">
      <alignment vertical="center"/>
    </xf>
    <xf numFmtId="0" fontId="6" fillId="0" borderId="2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Fill="1" applyBorder="1">
      <alignment vertical="center"/>
    </xf>
    <xf numFmtId="0" fontId="7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Border="1">
      <alignment vertical="center"/>
    </xf>
    <xf numFmtId="0" fontId="7" fillId="12" borderId="0" xfId="0" applyFont="1" applyFill="1">
      <alignment vertical="center"/>
    </xf>
    <xf numFmtId="0" fontId="0" fillId="12" borderId="0" xfId="0" applyFill="1" applyBorder="1">
      <alignment vertical="center"/>
    </xf>
    <xf numFmtId="0" fontId="0" fillId="12" borderId="2" xfId="0" applyFill="1" applyBorder="1">
      <alignment vertical="center"/>
    </xf>
    <xf numFmtId="0" fontId="0" fillId="12" borderId="0" xfId="0" applyFill="1">
      <alignment vertical="center"/>
    </xf>
    <xf numFmtId="0" fontId="0" fillId="12" borderId="1" xfId="0" applyFill="1" applyBorder="1">
      <alignment vertical="center"/>
    </xf>
    <xf numFmtId="0" fontId="6" fillId="2" borderId="0" xfId="0" applyFont="1" applyFill="1" applyBorder="1">
      <alignment vertical="center"/>
    </xf>
    <xf numFmtId="0" fontId="0" fillId="6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9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horizontal="center" vertical="center"/>
    </xf>
    <xf numFmtId="0" fontId="0" fillId="4" borderId="0" xfId="0" applyFill="1" applyAlignment="1">
      <alignment horizontal="left" vertical="center"/>
    </xf>
    <xf numFmtId="0" fontId="0" fillId="11" borderId="0" xfId="0" applyFill="1" applyAlignment="1">
      <alignment horizontal="left" vertical="center"/>
    </xf>
    <xf numFmtId="0" fontId="6" fillId="6" borderId="0" xfId="0" applyFont="1" applyFill="1" applyAlignment="1">
      <alignment horizontal="center" vertical="center" wrapText="1"/>
    </xf>
    <xf numFmtId="0" fontId="6" fillId="6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V385"/>
  <sheetViews>
    <sheetView tabSelected="1" zoomScale="85" zoomScaleNormal="85" workbookViewId="0">
      <pane xSplit="8" ySplit="5" topLeftCell="I362" activePane="bottomRight" state="frozen"/>
      <selection pane="topRight" activeCell="H1" sqref="H1"/>
      <selection pane="bottomLeft" activeCell="A6" sqref="A6"/>
      <selection pane="bottomRight" activeCell="A385" sqref="A385"/>
    </sheetView>
  </sheetViews>
  <sheetFormatPr defaultRowHeight="18.75"/>
  <cols>
    <col min="2" max="2" width="13.5" style="1" customWidth="1"/>
    <col min="8" max="8" width="9" style="52"/>
    <col min="19" max="19" width="9" style="30"/>
    <col min="20" max="21" width="12.875" bestFit="1" customWidth="1"/>
    <col min="22" max="23" width="9" style="1"/>
    <col min="39" max="39" width="9" style="30"/>
    <col min="43" max="43" width="9" style="30"/>
    <col min="45" max="45" width="12.875" bestFit="1" customWidth="1"/>
    <col min="63" max="64" width="9" style="30"/>
    <col min="67" max="68" width="9" style="30"/>
    <col min="73" max="73" width="9" style="23"/>
    <col min="74" max="74" width="36.625" customWidth="1"/>
  </cols>
  <sheetData>
    <row r="1" spans="1:74">
      <c r="P1" s="114" t="s">
        <v>373</v>
      </c>
      <c r="Q1" s="114"/>
      <c r="R1" s="114"/>
      <c r="S1" s="114"/>
      <c r="T1" s="114"/>
      <c r="U1" s="114"/>
      <c r="V1" s="114"/>
      <c r="W1" s="114"/>
      <c r="X1" s="114"/>
      <c r="Y1" s="114"/>
      <c r="Z1" s="114"/>
      <c r="AA1" s="114"/>
      <c r="AB1" s="114"/>
      <c r="AC1" s="114"/>
      <c r="AD1" s="114"/>
      <c r="AE1" s="114"/>
      <c r="AF1" s="114"/>
      <c r="AG1" s="114"/>
      <c r="AH1" s="114"/>
      <c r="AI1" s="114"/>
      <c r="AJ1" s="114"/>
      <c r="AK1" s="114"/>
      <c r="AL1" s="114"/>
      <c r="AM1" s="114"/>
      <c r="AN1" s="115" t="s">
        <v>22</v>
      </c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15"/>
      <c r="BL1" s="115"/>
      <c r="BM1" s="110" t="s">
        <v>23</v>
      </c>
      <c r="BN1" s="110"/>
      <c r="BO1" s="110"/>
      <c r="BP1" s="110"/>
      <c r="BQ1" s="110"/>
      <c r="BR1" s="110"/>
      <c r="BS1" s="110"/>
      <c r="BT1" s="110"/>
      <c r="BU1" s="73"/>
    </row>
    <row r="2" spans="1:74">
      <c r="P2" s="110" t="s">
        <v>362</v>
      </c>
      <c r="Q2" s="110"/>
      <c r="R2" s="110" t="s">
        <v>365</v>
      </c>
      <c r="S2" s="110"/>
      <c r="T2" s="110"/>
      <c r="U2" s="110"/>
      <c r="V2" s="110"/>
      <c r="W2" s="110"/>
      <c r="X2" s="111" t="s">
        <v>368</v>
      </c>
      <c r="Y2" s="111"/>
      <c r="Z2" s="111"/>
      <c r="AA2" s="111"/>
      <c r="AB2" s="111"/>
      <c r="AC2" s="111"/>
      <c r="AD2" s="111"/>
      <c r="AE2" s="110" t="s">
        <v>370</v>
      </c>
      <c r="AF2" s="110"/>
      <c r="AG2" s="110"/>
      <c r="AH2" s="110"/>
      <c r="AI2" s="110"/>
      <c r="AJ2" s="110"/>
      <c r="AK2" s="110"/>
      <c r="AL2" s="110"/>
      <c r="AM2" s="110"/>
      <c r="AN2" s="110" t="s">
        <v>372</v>
      </c>
      <c r="AO2" s="110"/>
      <c r="AP2" s="110" t="s">
        <v>374</v>
      </c>
      <c r="AQ2" s="110"/>
      <c r="AR2" s="110"/>
      <c r="AS2" s="110"/>
      <c r="AT2" s="110"/>
      <c r="AU2" s="110"/>
      <c r="AV2" s="110" t="s">
        <v>13</v>
      </c>
      <c r="AW2" s="110"/>
      <c r="AX2" s="110"/>
      <c r="AY2" s="110"/>
      <c r="AZ2" s="110"/>
      <c r="BA2" s="110"/>
      <c r="BB2" s="110"/>
      <c r="BC2" s="110" t="s">
        <v>21</v>
      </c>
      <c r="BD2" s="110"/>
      <c r="BE2" s="110"/>
      <c r="BF2" s="110"/>
      <c r="BG2" s="110"/>
      <c r="BH2" s="110"/>
      <c r="BI2" s="110"/>
      <c r="BJ2" s="110"/>
      <c r="BK2" s="110"/>
      <c r="BL2" s="110"/>
      <c r="BM2" s="118" t="s">
        <v>377</v>
      </c>
      <c r="BN2" s="118"/>
      <c r="BO2" s="118"/>
      <c r="BP2" s="118"/>
      <c r="BQ2" s="118"/>
      <c r="BR2" s="118"/>
      <c r="BS2" s="118"/>
      <c r="BT2" s="118"/>
      <c r="BU2" s="74"/>
    </row>
    <row r="3" spans="1:74" ht="21" customHeight="1">
      <c r="A3" s="106" t="s">
        <v>352</v>
      </c>
      <c r="B3" s="119"/>
      <c r="C3" s="91"/>
      <c r="D3" s="91"/>
      <c r="E3" s="91"/>
      <c r="F3" s="91"/>
      <c r="G3" s="91"/>
      <c r="H3" s="108" t="s">
        <v>354</v>
      </c>
      <c r="I3" s="91" t="s">
        <v>386</v>
      </c>
      <c r="J3" s="91"/>
      <c r="K3" s="91"/>
      <c r="L3" s="91" t="s">
        <v>385</v>
      </c>
      <c r="M3" s="91" t="s">
        <v>384</v>
      </c>
      <c r="N3" s="91"/>
      <c r="O3" s="91" t="s">
        <v>395</v>
      </c>
      <c r="P3" s="91" t="s">
        <v>397</v>
      </c>
      <c r="Q3" s="91" t="s">
        <v>396</v>
      </c>
      <c r="R3" s="91"/>
      <c r="S3" s="90"/>
      <c r="T3" s="91"/>
      <c r="U3" s="91"/>
      <c r="V3" s="92" t="s">
        <v>7</v>
      </c>
      <c r="W3" s="92" t="s">
        <v>8</v>
      </c>
      <c r="X3" s="91"/>
      <c r="Y3" s="91"/>
      <c r="Z3" s="91"/>
      <c r="AA3" s="91"/>
      <c r="AB3" s="91"/>
      <c r="AC3" s="91" t="s">
        <v>7</v>
      </c>
      <c r="AD3" s="91" t="s">
        <v>8</v>
      </c>
      <c r="AE3" s="106" t="s">
        <v>15</v>
      </c>
      <c r="AF3" s="91"/>
      <c r="AG3" s="106" t="s">
        <v>16</v>
      </c>
      <c r="AH3" s="106" t="s">
        <v>369</v>
      </c>
      <c r="AI3" s="106" t="s">
        <v>710</v>
      </c>
      <c r="AJ3" s="106" t="s">
        <v>18</v>
      </c>
      <c r="AK3" s="106" t="s">
        <v>711</v>
      </c>
      <c r="AL3" s="106" t="s">
        <v>712</v>
      </c>
      <c r="AM3" s="112" t="s">
        <v>19</v>
      </c>
      <c r="AN3" s="91"/>
      <c r="AO3" s="91"/>
      <c r="AP3" s="91"/>
      <c r="AQ3" s="90"/>
      <c r="AR3" s="91"/>
      <c r="AS3" s="91"/>
      <c r="AT3" s="91" t="s">
        <v>375</v>
      </c>
      <c r="AU3" s="91" t="s">
        <v>8</v>
      </c>
      <c r="AV3" s="91"/>
      <c r="AW3" s="91"/>
      <c r="AX3" s="91"/>
      <c r="AY3" s="91"/>
      <c r="AZ3" s="91"/>
      <c r="BA3" s="91" t="s">
        <v>375</v>
      </c>
      <c r="BB3" s="91" t="s">
        <v>8</v>
      </c>
      <c r="BC3" s="106" t="s">
        <v>15</v>
      </c>
      <c r="BD3" s="91"/>
      <c r="BE3" s="106" t="s">
        <v>16</v>
      </c>
      <c r="BF3" s="106" t="s">
        <v>17</v>
      </c>
      <c r="BG3" s="116" t="s">
        <v>612</v>
      </c>
      <c r="BH3" s="116" t="s">
        <v>614</v>
      </c>
      <c r="BI3" s="116" t="s">
        <v>613</v>
      </c>
      <c r="BJ3" s="116" t="s">
        <v>615</v>
      </c>
      <c r="BK3" s="112" t="s">
        <v>376</v>
      </c>
      <c r="BL3" s="112" t="s">
        <v>20</v>
      </c>
      <c r="BM3" s="91"/>
      <c r="BN3" s="91"/>
      <c r="BO3" s="90"/>
      <c r="BP3" s="90"/>
      <c r="BQ3" s="91"/>
      <c r="BR3" s="91"/>
      <c r="BS3" s="91" t="s">
        <v>375</v>
      </c>
      <c r="BT3" s="91" t="s">
        <v>8</v>
      </c>
      <c r="BU3" s="94" t="s">
        <v>769</v>
      </c>
      <c r="BV3" s="91"/>
    </row>
    <row r="4" spans="1:74" ht="18.75" customHeight="1">
      <c r="A4" s="107"/>
      <c r="B4" s="92" t="s">
        <v>735</v>
      </c>
      <c r="C4" s="91" t="s">
        <v>0</v>
      </c>
      <c r="D4" s="91" t="s">
        <v>1</v>
      </c>
      <c r="E4" s="91" t="s">
        <v>2</v>
      </c>
      <c r="F4" s="91" t="s">
        <v>3</v>
      </c>
      <c r="G4" s="91" t="s">
        <v>353</v>
      </c>
      <c r="H4" s="109"/>
      <c r="I4" s="91" t="s">
        <v>357</v>
      </c>
      <c r="J4" s="91" t="s">
        <v>358</v>
      </c>
      <c r="K4" s="91" t="s">
        <v>359</v>
      </c>
      <c r="L4" s="91" t="s">
        <v>355</v>
      </c>
      <c r="M4" s="91" t="s">
        <v>356</v>
      </c>
      <c r="N4" s="91" t="s">
        <v>360</v>
      </c>
      <c r="O4" s="91" t="s">
        <v>361</v>
      </c>
      <c r="P4" s="91" t="s">
        <v>363</v>
      </c>
      <c r="Q4" s="91" t="s">
        <v>364</v>
      </c>
      <c r="R4" s="91" t="s">
        <v>365</v>
      </c>
      <c r="S4" s="90" t="s">
        <v>366</v>
      </c>
      <c r="T4" s="91" t="s">
        <v>12</v>
      </c>
      <c r="U4" s="91" t="s">
        <v>4</v>
      </c>
      <c r="V4" s="92" t="s">
        <v>5</v>
      </c>
      <c r="W4" s="92" t="s">
        <v>6</v>
      </c>
      <c r="X4" s="91" t="s">
        <v>367</v>
      </c>
      <c r="Y4" s="91" t="s">
        <v>10</v>
      </c>
      <c r="Z4" s="91" t="s">
        <v>11</v>
      </c>
      <c r="AA4" s="91" t="s">
        <v>12</v>
      </c>
      <c r="AB4" s="91" t="s">
        <v>4</v>
      </c>
      <c r="AC4" s="91" t="s">
        <v>5</v>
      </c>
      <c r="AD4" s="91" t="s">
        <v>6</v>
      </c>
      <c r="AE4" s="107"/>
      <c r="AF4" s="91" t="s">
        <v>14</v>
      </c>
      <c r="AG4" s="107"/>
      <c r="AH4" s="107"/>
      <c r="AI4" s="107"/>
      <c r="AJ4" s="107"/>
      <c r="AK4" s="107"/>
      <c r="AL4" s="107"/>
      <c r="AM4" s="113"/>
      <c r="AN4" s="91" t="s">
        <v>957</v>
      </c>
      <c r="AO4" s="91" t="s">
        <v>371</v>
      </c>
      <c r="AP4" s="91" t="s">
        <v>374</v>
      </c>
      <c r="AQ4" s="90" t="s">
        <v>366</v>
      </c>
      <c r="AR4" s="91" t="s">
        <v>12</v>
      </c>
      <c r="AS4" s="91" t="s">
        <v>4</v>
      </c>
      <c r="AT4" s="91" t="s">
        <v>5</v>
      </c>
      <c r="AU4" s="91" t="s">
        <v>6</v>
      </c>
      <c r="AV4" s="91" t="s">
        <v>9</v>
      </c>
      <c r="AW4" s="91" t="s">
        <v>10</v>
      </c>
      <c r="AX4" s="91" t="s">
        <v>11</v>
      </c>
      <c r="AY4" s="91" t="s">
        <v>12</v>
      </c>
      <c r="AZ4" s="91" t="s">
        <v>4</v>
      </c>
      <c r="BA4" s="91" t="s">
        <v>5</v>
      </c>
      <c r="BB4" s="91" t="s">
        <v>6</v>
      </c>
      <c r="BC4" s="107"/>
      <c r="BD4" s="91" t="s">
        <v>14</v>
      </c>
      <c r="BE4" s="107"/>
      <c r="BF4" s="107"/>
      <c r="BG4" s="117"/>
      <c r="BH4" s="116"/>
      <c r="BI4" s="117"/>
      <c r="BJ4" s="117"/>
      <c r="BK4" s="113"/>
      <c r="BL4" s="113"/>
      <c r="BM4" s="91" t="s">
        <v>24</v>
      </c>
      <c r="BN4" s="91" t="s">
        <v>609</v>
      </c>
      <c r="BO4" s="90" t="s">
        <v>610</v>
      </c>
      <c r="BP4" s="90" t="s">
        <v>611</v>
      </c>
      <c r="BQ4" s="91" t="s">
        <v>25</v>
      </c>
      <c r="BR4" s="91" t="s">
        <v>608</v>
      </c>
      <c r="BS4" s="92" t="s">
        <v>5</v>
      </c>
      <c r="BT4" s="92" t="s">
        <v>6</v>
      </c>
      <c r="BU4" s="93" t="s">
        <v>768</v>
      </c>
      <c r="BV4" s="91" t="s">
        <v>616</v>
      </c>
    </row>
    <row r="5" spans="1:74">
      <c r="A5" s="91" t="s">
        <v>707</v>
      </c>
      <c r="B5" s="92" t="s">
        <v>742</v>
      </c>
      <c r="C5" s="91" t="s">
        <v>708</v>
      </c>
      <c r="D5" s="91" t="s">
        <v>967</v>
      </c>
      <c r="E5" s="91" t="s">
        <v>968</v>
      </c>
      <c r="F5" s="91"/>
      <c r="G5" s="91" t="s">
        <v>709</v>
      </c>
      <c r="H5" s="53" t="s">
        <v>713</v>
      </c>
      <c r="I5" s="91" t="s">
        <v>803</v>
      </c>
      <c r="J5" s="91" t="s">
        <v>944</v>
      </c>
      <c r="K5" s="91" t="s">
        <v>804</v>
      </c>
      <c r="L5" s="91" t="s">
        <v>805</v>
      </c>
      <c r="M5" s="91" t="s">
        <v>806</v>
      </c>
      <c r="N5" s="91" t="s">
        <v>807</v>
      </c>
      <c r="O5" s="91" t="s">
        <v>808</v>
      </c>
      <c r="P5" s="91" t="s">
        <v>935</v>
      </c>
      <c r="Q5" s="91" t="s">
        <v>809</v>
      </c>
      <c r="R5" s="91"/>
      <c r="S5" s="90"/>
      <c r="T5" s="91" t="s">
        <v>810</v>
      </c>
      <c r="U5" s="91" t="s">
        <v>811</v>
      </c>
      <c r="V5" s="92" t="s">
        <v>936</v>
      </c>
      <c r="W5" s="92" t="s">
        <v>812</v>
      </c>
      <c r="X5" s="92" t="s">
        <v>813</v>
      </c>
      <c r="Y5" s="91" t="s">
        <v>814</v>
      </c>
      <c r="Z5" s="105" t="s">
        <v>966</v>
      </c>
      <c r="AA5" s="91" t="s">
        <v>815</v>
      </c>
      <c r="AB5" s="91" t="s">
        <v>965</v>
      </c>
      <c r="AC5" s="91" t="s">
        <v>816</v>
      </c>
      <c r="AD5" s="91" t="s">
        <v>817</v>
      </c>
      <c r="AE5" s="91" t="s">
        <v>931</v>
      </c>
      <c r="AF5" s="91" t="s">
        <v>818</v>
      </c>
      <c r="AG5" s="91" t="s">
        <v>932</v>
      </c>
      <c r="AH5" s="91" t="s">
        <v>819</v>
      </c>
      <c r="AI5" s="91" t="s">
        <v>933</v>
      </c>
      <c r="AJ5" s="91" t="s">
        <v>820</v>
      </c>
      <c r="AK5" s="91" t="s">
        <v>934</v>
      </c>
      <c r="AL5" s="91" t="s">
        <v>821</v>
      </c>
      <c r="AM5" s="90"/>
      <c r="AN5" s="91" t="s">
        <v>942</v>
      </c>
      <c r="AO5" s="91" t="s">
        <v>822</v>
      </c>
      <c r="AP5" s="91"/>
      <c r="AQ5" s="90"/>
      <c r="AR5" s="104" t="s">
        <v>958</v>
      </c>
      <c r="AS5" s="91" t="s">
        <v>948</v>
      </c>
      <c r="AT5" s="91" t="s">
        <v>943</v>
      </c>
      <c r="AU5" s="91" t="s">
        <v>823</v>
      </c>
      <c r="AV5" s="91"/>
      <c r="AW5" s="91" t="s">
        <v>824</v>
      </c>
      <c r="AX5" s="104" t="s">
        <v>959</v>
      </c>
      <c r="AY5" s="104" t="s">
        <v>960</v>
      </c>
      <c r="AZ5" s="91" t="s">
        <v>946</v>
      </c>
      <c r="BA5" s="104" t="s">
        <v>961</v>
      </c>
      <c r="BB5" s="104" t="s">
        <v>962</v>
      </c>
      <c r="BC5" s="91" t="s">
        <v>937</v>
      </c>
      <c r="BD5" s="91" t="s">
        <v>825</v>
      </c>
      <c r="BE5" s="91" t="s">
        <v>938</v>
      </c>
      <c r="BF5" s="91" t="s">
        <v>826</v>
      </c>
      <c r="BG5" s="89" t="s">
        <v>939</v>
      </c>
      <c r="BH5" s="88" t="s">
        <v>827</v>
      </c>
      <c r="BI5" s="89" t="s">
        <v>940</v>
      </c>
      <c r="BJ5" s="89" t="s">
        <v>828</v>
      </c>
      <c r="BK5" s="90"/>
      <c r="BL5" s="90" t="s">
        <v>941</v>
      </c>
      <c r="BM5" s="91"/>
      <c r="BN5" s="91"/>
      <c r="BO5" s="90"/>
      <c r="BP5" s="90" t="s">
        <v>964</v>
      </c>
      <c r="BQ5" s="104" t="s">
        <v>963</v>
      </c>
      <c r="BR5" s="91" t="s">
        <v>945</v>
      </c>
      <c r="BS5" s="92" t="s">
        <v>947</v>
      </c>
      <c r="BT5" s="92" t="s">
        <v>829</v>
      </c>
      <c r="BU5" s="93" t="s">
        <v>830</v>
      </c>
    </row>
    <row r="6" spans="1:74">
      <c r="A6">
        <v>1</v>
      </c>
      <c r="B6" s="1">
        <v>2</v>
      </c>
      <c r="C6" s="1">
        <v>1</v>
      </c>
      <c r="D6" s="1" t="s">
        <v>26</v>
      </c>
      <c r="E6" s="1">
        <v>1971</v>
      </c>
      <c r="F6" s="1" t="s">
        <v>27</v>
      </c>
      <c r="G6" s="1" t="s">
        <v>440</v>
      </c>
      <c r="H6" s="52" t="s">
        <v>387</v>
      </c>
      <c r="I6">
        <f t="shared" ref="I6:K13" si="0">483*9.8/100</f>
        <v>47.334000000000003</v>
      </c>
      <c r="J6">
        <f t="shared" si="0"/>
        <v>47.334000000000003</v>
      </c>
      <c r="K6">
        <f t="shared" si="0"/>
        <v>47.334000000000003</v>
      </c>
      <c r="L6">
        <v>3725</v>
      </c>
      <c r="M6">
        <v>1950</v>
      </c>
      <c r="N6">
        <v>0</v>
      </c>
      <c r="O6">
        <v>0</v>
      </c>
      <c r="P6">
        <v>250</v>
      </c>
      <c r="Q6">
        <v>500</v>
      </c>
      <c r="R6" t="s">
        <v>398</v>
      </c>
      <c r="T6">
        <v>19.100000000000001</v>
      </c>
      <c r="U6">
        <v>287</v>
      </c>
      <c r="V6" s="1">
        <f t="shared" ref="V6:V13" si="1">35.9*9.8</f>
        <v>351.82</v>
      </c>
      <c r="W6" s="21">
        <v>205</v>
      </c>
      <c r="X6" t="s">
        <v>399</v>
      </c>
      <c r="Y6">
        <v>250</v>
      </c>
      <c r="Z6">
        <v>2</v>
      </c>
      <c r="AA6">
        <v>9</v>
      </c>
      <c r="AB6">
        <v>63.6</v>
      </c>
      <c r="AC6" s="16">
        <f t="shared" ref="AC6:AC16" si="2">3300*9.8/100</f>
        <v>323.40000000000003</v>
      </c>
      <c r="AD6" s="16">
        <f t="shared" ref="AD6:AD16" si="3">1980*9.8/100</f>
        <v>194.04</v>
      </c>
      <c r="AE6">
        <v>4</v>
      </c>
      <c r="AF6" s="21">
        <v>80</v>
      </c>
      <c r="AG6" s="1">
        <v>0</v>
      </c>
      <c r="AH6" s="1">
        <v>0</v>
      </c>
      <c r="AI6" s="1">
        <v>4</v>
      </c>
      <c r="AJ6" s="21">
        <v>80</v>
      </c>
      <c r="AK6" s="1">
        <v>0</v>
      </c>
      <c r="AL6" s="1">
        <v>0</v>
      </c>
      <c r="AN6">
        <v>325</v>
      </c>
      <c r="AO6">
        <v>325</v>
      </c>
      <c r="AP6" t="s">
        <v>400</v>
      </c>
      <c r="AR6">
        <v>15.9</v>
      </c>
      <c r="AS6">
        <v>199</v>
      </c>
      <c r="AT6">
        <f t="shared" ref="AT6:AT13" si="4">31.9*9.8</f>
        <v>312.62</v>
      </c>
      <c r="AU6" s="16">
        <v>205</v>
      </c>
      <c r="AV6" t="s">
        <v>402</v>
      </c>
      <c r="AW6">
        <v>130</v>
      </c>
      <c r="AX6">
        <v>2</v>
      </c>
      <c r="AY6">
        <v>9</v>
      </c>
      <c r="AZ6">
        <v>63.6</v>
      </c>
      <c r="BA6" s="16">
        <f t="shared" ref="BA6:BA16" si="5">3300*9.8/100</f>
        <v>323.40000000000003</v>
      </c>
      <c r="BB6" s="16">
        <f t="shared" ref="BB6:BB16" si="6">1980*9.8/100</f>
        <v>194.04</v>
      </c>
      <c r="BC6">
        <v>4</v>
      </c>
      <c r="BD6" s="21">
        <v>45</v>
      </c>
      <c r="BE6">
        <v>0</v>
      </c>
      <c r="BF6">
        <v>0</v>
      </c>
      <c r="BG6">
        <v>4</v>
      </c>
      <c r="BH6" s="21">
        <v>45</v>
      </c>
      <c r="BI6">
        <v>0</v>
      </c>
      <c r="BJ6">
        <v>0</v>
      </c>
      <c r="BM6" t="s">
        <v>442</v>
      </c>
      <c r="BN6" t="s">
        <v>617</v>
      </c>
      <c r="BQ6">
        <v>2</v>
      </c>
      <c r="BR6">
        <v>4</v>
      </c>
      <c r="BS6" s="16">
        <f t="shared" ref="BS6:BS13" si="7">3300*9.8/100</f>
        <v>323.40000000000003</v>
      </c>
      <c r="BT6" s="16">
        <f t="shared" ref="BT6:BT13" si="8">1980*9.8/100</f>
        <v>194.04</v>
      </c>
      <c r="BU6" s="76"/>
      <c r="BV6" t="s">
        <v>628</v>
      </c>
    </row>
    <row r="7" spans="1:74">
      <c r="A7">
        <v>2</v>
      </c>
      <c r="B7" s="1">
        <v>3</v>
      </c>
      <c r="G7" s="1" t="s">
        <v>440</v>
      </c>
      <c r="H7" s="1" t="s">
        <v>388</v>
      </c>
      <c r="I7">
        <f t="shared" si="0"/>
        <v>47.334000000000003</v>
      </c>
      <c r="J7">
        <f t="shared" si="0"/>
        <v>47.334000000000003</v>
      </c>
      <c r="K7">
        <f t="shared" si="0"/>
        <v>47.334000000000003</v>
      </c>
      <c r="L7">
        <v>3725</v>
      </c>
      <c r="M7">
        <v>1950</v>
      </c>
      <c r="N7">
        <v>0</v>
      </c>
      <c r="O7">
        <f>40*9.8</f>
        <v>392</v>
      </c>
      <c r="P7">
        <v>250</v>
      </c>
      <c r="Q7">
        <v>500</v>
      </c>
      <c r="R7" t="s">
        <v>398</v>
      </c>
      <c r="T7">
        <v>19.100000000000001</v>
      </c>
      <c r="U7">
        <v>287</v>
      </c>
      <c r="V7" s="1">
        <f t="shared" si="1"/>
        <v>351.82</v>
      </c>
      <c r="W7" s="21">
        <v>205</v>
      </c>
      <c r="X7" t="s">
        <v>399</v>
      </c>
      <c r="Y7">
        <v>250</v>
      </c>
      <c r="Z7">
        <v>2</v>
      </c>
      <c r="AA7">
        <v>9</v>
      </c>
      <c r="AB7">
        <v>63.6</v>
      </c>
      <c r="AC7" s="16">
        <f t="shared" si="2"/>
        <v>323.40000000000003</v>
      </c>
      <c r="AD7" s="16">
        <f t="shared" si="3"/>
        <v>194.04</v>
      </c>
      <c r="AE7">
        <v>4</v>
      </c>
      <c r="AF7" s="21">
        <v>80</v>
      </c>
      <c r="AG7" s="1">
        <v>0</v>
      </c>
      <c r="AH7" s="1">
        <v>0</v>
      </c>
      <c r="AI7" s="1">
        <v>4</v>
      </c>
      <c r="AJ7" s="21">
        <v>80</v>
      </c>
      <c r="AK7" s="1">
        <v>0</v>
      </c>
      <c r="AL7" s="1">
        <v>0</v>
      </c>
      <c r="AN7">
        <v>325</v>
      </c>
      <c r="AO7">
        <v>325</v>
      </c>
      <c r="AP7" t="s">
        <v>401</v>
      </c>
      <c r="AR7">
        <v>15.9</v>
      </c>
      <c r="AS7">
        <v>199</v>
      </c>
      <c r="AT7">
        <f t="shared" si="4"/>
        <v>312.62</v>
      </c>
      <c r="AU7" s="16">
        <v>205</v>
      </c>
      <c r="AV7" t="s">
        <v>403</v>
      </c>
      <c r="AW7">
        <v>130</v>
      </c>
      <c r="AX7">
        <v>2</v>
      </c>
      <c r="AY7">
        <v>9</v>
      </c>
      <c r="AZ7">
        <v>63.6</v>
      </c>
      <c r="BA7" s="16">
        <f t="shared" si="5"/>
        <v>323.40000000000003</v>
      </c>
      <c r="BB7" s="16">
        <f t="shared" si="6"/>
        <v>194.04</v>
      </c>
      <c r="BC7">
        <v>4</v>
      </c>
      <c r="BD7" s="21">
        <v>45</v>
      </c>
      <c r="BE7">
        <v>0</v>
      </c>
      <c r="BF7">
        <v>0</v>
      </c>
      <c r="BG7">
        <v>4</v>
      </c>
      <c r="BH7" s="21">
        <v>45</v>
      </c>
      <c r="BI7">
        <v>0</v>
      </c>
      <c r="BJ7">
        <v>0</v>
      </c>
      <c r="BM7" t="s">
        <v>442</v>
      </c>
      <c r="BN7" t="s">
        <v>617</v>
      </c>
      <c r="BQ7">
        <v>2</v>
      </c>
      <c r="BR7">
        <v>4</v>
      </c>
      <c r="BS7" s="16">
        <f t="shared" si="7"/>
        <v>323.40000000000003</v>
      </c>
      <c r="BT7" s="16">
        <f t="shared" si="8"/>
        <v>194.04</v>
      </c>
      <c r="BU7" s="76"/>
      <c r="BV7" t="s">
        <v>628</v>
      </c>
    </row>
    <row r="8" spans="1:74">
      <c r="A8">
        <v>3</v>
      </c>
      <c r="B8" s="1">
        <v>2</v>
      </c>
      <c r="G8" s="1" t="s">
        <v>440</v>
      </c>
      <c r="H8" s="52" t="s">
        <v>389</v>
      </c>
      <c r="I8">
        <f t="shared" si="0"/>
        <v>47.334000000000003</v>
      </c>
      <c r="J8">
        <f t="shared" si="0"/>
        <v>47.334000000000003</v>
      </c>
      <c r="K8">
        <f t="shared" si="0"/>
        <v>47.334000000000003</v>
      </c>
      <c r="L8">
        <v>3725</v>
      </c>
      <c r="M8">
        <v>1950</v>
      </c>
      <c r="N8">
        <v>0</v>
      </c>
      <c r="O8">
        <f>60*9.8</f>
        <v>588</v>
      </c>
      <c r="P8">
        <v>250</v>
      </c>
      <c r="Q8">
        <v>500</v>
      </c>
      <c r="R8" t="s">
        <v>57</v>
      </c>
      <c r="T8">
        <v>19.100000000000001</v>
      </c>
      <c r="U8">
        <v>287</v>
      </c>
      <c r="V8" s="1">
        <f t="shared" si="1"/>
        <v>351.82</v>
      </c>
      <c r="W8" s="21">
        <v>205</v>
      </c>
      <c r="X8" t="s">
        <v>246</v>
      </c>
      <c r="Y8">
        <v>250</v>
      </c>
      <c r="Z8">
        <v>2</v>
      </c>
      <c r="AA8">
        <v>9</v>
      </c>
      <c r="AB8">
        <v>63.6</v>
      </c>
      <c r="AC8" s="16">
        <f t="shared" si="2"/>
        <v>323.40000000000003</v>
      </c>
      <c r="AD8" s="16">
        <f t="shared" si="3"/>
        <v>194.04</v>
      </c>
      <c r="AE8">
        <v>4</v>
      </c>
      <c r="AF8" s="21">
        <v>80</v>
      </c>
      <c r="AG8" s="1">
        <v>0</v>
      </c>
      <c r="AH8" s="1">
        <v>0</v>
      </c>
      <c r="AI8" s="1">
        <v>4</v>
      </c>
      <c r="AJ8" s="21">
        <v>80</v>
      </c>
      <c r="AK8" s="1">
        <v>0</v>
      </c>
      <c r="AL8" s="1">
        <v>0</v>
      </c>
      <c r="AN8">
        <v>325</v>
      </c>
      <c r="AO8">
        <v>325</v>
      </c>
      <c r="AP8" t="s">
        <v>39</v>
      </c>
      <c r="AR8">
        <v>15.9</v>
      </c>
      <c r="AS8">
        <v>199</v>
      </c>
      <c r="AT8">
        <f t="shared" si="4"/>
        <v>312.62</v>
      </c>
      <c r="AU8" s="16">
        <v>205</v>
      </c>
      <c r="AV8" t="s">
        <v>246</v>
      </c>
      <c r="AW8">
        <v>130</v>
      </c>
      <c r="AX8">
        <v>2</v>
      </c>
      <c r="AY8">
        <v>9</v>
      </c>
      <c r="AZ8">
        <v>63.6</v>
      </c>
      <c r="BA8" s="16">
        <f t="shared" si="5"/>
        <v>323.40000000000003</v>
      </c>
      <c r="BB8" s="16">
        <f t="shared" si="6"/>
        <v>194.04</v>
      </c>
      <c r="BC8">
        <v>4</v>
      </c>
      <c r="BD8" s="21">
        <v>45</v>
      </c>
      <c r="BE8">
        <v>0</v>
      </c>
      <c r="BF8">
        <v>0</v>
      </c>
      <c r="BG8">
        <v>4</v>
      </c>
      <c r="BH8" s="21">
        <v>45</v>
      </c>
      <c r="BI8">
        <v>0</v>
      </c>
      <c r="BJ8">
        <v>0</v>
      </c>
      <c r="BM8" t="s">
        <v>442</v>
      </c>
      <c r="BN8" t="s">
        <v>246</v>
      </c>
      <c r="BQ8">
        <v>2</v>
      </c>
      <c r="BR8">
        <v>4</v>
      </c>
      <c r="BS8" s="16">
        <f t="shared" si="7"/>
        <v>323.40000000000003</v>
      </c>
      <c r="BT8" s="16">
        <f t="shared" si="8"/>
        <v>194.04</v>
      </c>
      <c r="BU8" s="76"/>
      <c r="BV8" t="s">
        <v>628</v>
      </c>
    </row>
    <row r="9" spans="1:74">
      <c r="A9">
        <v>4</v>
      </c>
      <c r="B9" s="1">
        <v>2</v>
      </c>
      <c r="C9" s="17"/>
      <c r="D9" s="17"/>
      <c r="E9" s="17"/>
      <c r="F9" s="17"/>
      <c r="G9" s="7" t="s">
        <v>440</v>
      </c>
      <c r="H9" s="56" t="s">
        <v>390</v>
      </c>
      <c r="I9" s="17">
        <f t="shared" si="0"/>
        <v>47.334000000000003</v>
      </c>
      <c r="J9" s="17">
        <f t="shared" si="0"/>
        <v>47.334000000000003</v>
      </c>
      <c r="K9" s="17">
        <f t="shared" si="0"/>
        <v>47.334000000000003</v>
      </c>
      <c r="L9" s="17">
        <v>3725</v>
      </c>
      <c r="M9" s="17">
        <v>1950</v>
      </c>
      <c r="N9" s="17">
        <v>0</v>
      </c>
      <c r="O9" s="17">
        <f>80*9.8</f>
        <v>784</v>
      </c>
      <c r="P9" s="17">
        <v>250</v>
      </c>
      <c r="Q9" s="17">
        <v>500</v>
      </c>
      <c r="R9" s="17" t="s">
        <v>57</v>
      </c>
      <c r="S9" s="31"/>
      <c r="T9" s="17">
        <v>19.100000000000001</v>
      </c>
      <c r="U9" s="17">
        <v>287</v>
      </c>
      <c r="V9" s="7">
        <f t="shared" si="1"/>
        <v>351.82</v>
      </c>
      <c r="W9" s="34">
        <v>205</v>
      </c>
      <c r="X9" s="17" t="s">
        <v>246</v>
      </c>
      <c r="Y9" s="17">
        <v>250</v>
      </c>
      <c r="Z9" s="17">
        <v>2</v>
      </c>
      <c r="AA9" s="17">
        <v>9</v>
      </c>
      <c r="AB9" s="17">
        <v>63.6</v>
      </c>
      <c r="AC9" s="96">
        <f t="shared" si="2"/>
        <v>323.40000000000003</v>
      </c>
      <c r="AD9" s="96">
        <f t="shared" si="3"/>
        <v>194.04</v>
      </c>
      <c r="AE9" s="17">
        <v>4</v>
      </c>
      <c r="AF9" s="34">
        <v>80</v>
      </c>
      <c r="AG9" s="7">
        <v>0</v>
      </c>
      <c r="AH9" s="7">
        <v>0</v>
      </c>
      <c r="AI9" s="7">
        <v>4</v>
      </c>
      <c r="AJ9" s="34">
        <v>80</v>
      </c>
      <c r="AK9" s="7">
        <v>0</v>
      </c>
      <c r="AL9" s="7">
        <v>0</v>
      </c>
      <c r="AM9" s="31"/>
      <c r="AN9" s="17">
        <v>325</v>
      </c>
      <c r="AO9" s="17">
        <v>325</v>
      </c>
      <c r="AP9" s="17" t="s">
        <v>39</v>
      </c>
      <c r="AQ9" s="31"/>
      <c r="AR9" s="17">
        <v>15.9</v>
      </c>
      <c r="AS9" s="17">
        <v>199</v>
      </c>
      <c r="AT9" s="17">
        <f t="shared" si="4"/>
        <v>312.62</v>
      </c>
      <c r="AU9" s="96">
        <v>205</v>
      </c>
      <c r="AV9" s="17" t="s">
        <v>246</v>
      </c>
      <c r="AW9" s="17">
        <v>130</v>
      </c>
      <c r="AX9" s="17">
        <v>2</v>
      </c>
      <c r="AY9" s="17">
        <v>9</v>
      </c>
      <c r="AZ9" s="17">
        <v>63.6</v>
      </c>
      <c r="BA9" s="96">
        <f t="shared" si="5"/>
        <v>323.40000000000003</v>
      </c>
      <c r="BB9" s="96">
        <f t="shared" si="6"/>
        <v>194.04</v>
      </c>
      <c r="BC9" s="17">
        <v>4</v>
      </c>
      <c r="BD9" s="34">
        <v>45</v>
      </c>
      <c r="BE9" s="17">
        <v>0</v>
      </c>
      <c r="BF9" s="17">
        <v>0</v>
      </c>
      <c r="BG9" s="17">
        <v>4</v>
      </c>
      <c r="BH9" s="34">
        <v>45</v>
      </c>
      <c r="BI9" s="17">
        <v>0</v>
      </c>
      <c r="BJ9" s="17">
        <v>0</v>
      </c>
      <c r="BK9" s="31"/>
      <c r="BL9" s="31"/>
      <c r="BM9" s="17" t="s">
        <v>442</v>
      </c>
      <c r="BN9" s="17" t="s">
        <v>246</v>
      </c>
      <c r="BO9" s="31"/>
      <c r="BP9" s="31"/>
      <c r="BQ9" s="17">
        <v>2</v>
      </c>
      <c r="BR9" s="17">
        <v>4</v>
      </c>
      <c r="BS9" s="96">
        <f t="shared" si="7"/>
        <v>323.40000000000003</v>
      </c>
      <c r="BT9" s="96">
        <f t="shared" si="8"/>
        <v>194.04</v>
      </c>
      <c r="BU9" s="87"/>
      <c r="BV9" s="17" t="s">
        <v>628</v>
      </c>
    </row>
    <row r="10" spans="1:74">
      <c r="A10">
        <v>5</v>
      </c>
      <c r="B10" s="1">
        <v>3</v>
      </c>
      <c r="G10" s="1" t="s">
        <v>405</v>
      </c>
      <c r="H10" s="52" t="s">
        <v>391</v>
      </c>
      <c r="I10">
        <f t="shared" si="0"/>
        <v>47.334000000000003</v>
      </c>
      <c r="J10">
        <f t="shared" si="0"/>
        <v>47.334000000000003</v>
      </c>
      <c r="K10">
        <f t="shared" si="0"/>
        <v>47.334000000000003</v>
      </c>
      <c r="L10">
        <v>3725</v>
      </c>
      <c r="M10">
        <v>1950</v>
      </c>
      <c r="N10">
        <v>0</v>
      </c>
      <c r="O10">
        <v>0</v>
      </c>
      <c r="P10">
        <v>250</v>
      </c>
      <c r="Q10">
        <v>500</v>
      </c>
      <c r="R10" t="s">
        <v>57</v>
      </c>
      <c r="T10">
        <v>19.100000000000001</v>
      </c>
      <c r="U10">
        <v>287</v>
      </c>
      <c r="V10" s="1">
        <f t="shared" si="1"/>
        <v>351.82</v>
      </c>
      <c r="W10" s="21">
        <v>205</v>
      </c>
      <c r="X10" t="s">
        <v>246</v>
      </c>
      <c r="Y10">
        <v>250</v>
      </c>
      <c r="Z10">
        <v>2</v>
      </c>
      <c r="AA10">
        <v>9</v>
      </c>
      <c r="AB10">
        <v>63.6</v>
      </c>
      <c r="AC10" s="16">
        <f t="shared" si="2"/>
        <v>323.40000000000003</v>
      </c>
      <c r="AD10" s="16">
        <f t="shared" si="3"/>
        <v>194.04</v>
      </c>
      <c r="AE10" s="1">
        <v>4</v>
      </c>
      <c r="AF10" s="21">
        <v>80</v>
      </c>
      <c r="AG10" s="1">
        <v>0</v>
      </c>
      <c r="AH10" s="1">
        <v>0</v>
      </c>
      <c r="AI10" s="1">
        <v>4</v>
      </c>
      <c r="AJ10" s="21">
        <v>80</v>
      </c>
      <c r="AK10" s="1">
        <v>0</v>
      </c>
      <c r="AL10" s="1">
        <v>0</v>
      </c>
      <c r="AN10">
        <v>325</v>
      </c>
      <c r="AO10">
        <v>325</v>
      </c>
      <c r="AP10" t="s">
        <v>39</v>
      </c>
      <c r="AR10">
        <v>15.9</v>
      </c>
      <c r="AS10">
        <v>199</v>
      </c>
      <c r="AT10">
        <f t="shared" si="4"/>
        <v>312.62</v>
      </c>
      <c r="AU10" s="16">
        <v>205</v>
      </c>
      <c r="AV10" t="s">
        <v>246</v>
      </c>
      <c r="AW10">
        <v>130</v>
      </c>
      <c r="AX10">
        <v>2</v>
      </c>
      <c r="AY10">
        <v>9</v>
      </c>
      <c r="AZ10">
        <v>63.6</v>
      </c>
      <c r="BA10" s="16">
        <f t="shared" si="5"/>
        <v>323.40000000000003</v>
      </c>
      <c r="BB10" s="16">
        <f t="shared" si="6"/>
        <v>194.04</v>
      </c>
      <c r="BC10">
        <v>4</v>
      </c>
      <c r="BD10" s="21">
        <v>45</v>
      </c>
      <c r="BE10">
        <v>0</v>
      </c>
      <c r="BF10">
        <v>0</v>
      </c>
      <c r="BG10">
        <v>4</v>
      </c>
      <c r="BH10" s="21">
        <v>45</v>
      </c>
      <c r="BI10">
        <v>0</v>
      </c>
      <c r="BJ10">
        <v>0</v>
      </c>
      <c r="BM10" t="s">
        <v>442</v>
      </c>
      <c r="BN10" t="s">
        <v>246</v>
      </c>
      <c r="BQ10">
        <v>2</v>
      </c>
      <c r="BR10">
        <v>4</v>
      </c>
      <c r="BS10" s="16">
        <f t="shared" si="7"/>
        <v>323.40000000000003</v>
      </c>
      <c r="BT10" s="16">
        <f t="shared" si="8"/>
        <v>194.04</v>
      </c>
      <c r="BU10" s="76"/>
      <c r="BV10" t="s">
        <v>629</v>
      </c>
    </row>
    <row r="11" spans="1:74">
      <c r="A11">
        <v>6</v>
      </c>
      <c r="B11" s="1">
        <v>3</v>
      </c>
      <c r="G11" s="1" t="s">
        <v>440</v>
      </c>
      <c r="H11" s="52" t="s">
        <v>392</v>
      </c>
      <c r="I11">
        <f t="shared" si="0"/>
        <v>47.334000000000003</v>
      </c>
      <c r="J11">
        <f t="shared" si="0"/>
        <v>47.334000000000003</v>
      </c>
      <c r="K11">
        <f t="shared" si="0"/>
        <v>47.334000000000003</v>
      </c>
      <c r="L11">
        <v>3725</v>
      </c>
      <c r="M11">
        <v>1950</v>
      </c>
      <c r="N11">
        <v>0</v>
      </c>
      <c r="O11">
        <f>40*9.8</f>
        <v>392</v>
      </c>
      <c r="P11">
        <v>250</v>
      </c>
      <c r="Q11">
        <v>500</v>
      </c>
      <c r="R11" t="s">
        <v>57</v>
      </c>
      <c r="T11">
        <v>19.100000000000001</v>
      </c>
      <c r="U11">
        <v>287</v>
      </c>
      <c r="V11" s="1">
        <f t="shared" si="1"/>
        <v>351.82</v>
      </c>
      <c r="W11" s="21">
        <v>205</v>
      </c>
      <c r="X11" t="s">
        <v>246</v>
      </c>
      <c r="Y11">
        <v>250</v>
      </c>
      <c r="Z11">
        <v>2</v>
      </c>
      <c r="AA11">
        <v>9</v>
      </c>
      <c r="AB11">
        <v>63.6</v>
      </c>
      <c r="AC11" s="16">
        <f t="shared" si="2"/>
        <v>323.40000000000003</v>
      </c>
      <c r="AD11" s="16">
        <f t="shared" si="3"/>
        <v>194.04</v>
      </c>
      <c r="AE11" s="1">
        <v>4</v>
      </c>
      <c r="AF11" s="21">
        <v>80</v>
      </c>
      <c r="AG11" s="1">
        <v>0</v>
      </c>
      <c r="AH11" s="1">
        <v>0</v>
      </c>
      <c r="AI11" s="1">
        <v>4</v>
      </c>
      <c r="AJ11" s="21">
        <v>80</v>
      </c>
      <c r="AK11" s="1">
        <v>0</v>
      </c>
      <c r="AL11" s="1">
        <v>0</v>
      </c>
      <c r="AN11">
        <v>325</v>
      </c>
      <c r="AO11">
        <v>325</v>
      </c>
      <c r="AP11" t="s">
        <v>39</v>
      </c>
      <c r="AR11">
        <v>15.9</v>
      </c>
      <c r="AS11">
        <v>199</v>
      </c>
      <c r="AT11">
        <f t="shared" si="4"/>
        <v>312.62</v>
      </c>
      <c r="AU11" s="16">
        <v>205</v>
      </c>
      <c r="AV11" t="s">
        <v>246</v>
      </c>
      <c r="AW11">
        <v>130</v>
      </c>
      <c r="AX11">
        <v>2</v>
      </c>
      <c r="AY11">
        <v>9</v>
      </c>
      <c r="AZ11">
        <v>63.6</v>
      </c>
      <c r="BA11" s="16">
        <f t="shared" si="5"/>
        <v>323.40000000000003</v>
      </c>
      <c r="BB11" s="16">
        <f t="shared" si="6"/>
        <v>194.04</v>
      </c>
      <c r="BC11">
        <v>4</v>
      </c>
      <c r="BD11" s="21">
        <v>45</v>
      </c>
      <c r="BE11">
        <v>0</v>
      </c>
      <c r="BF11">
        <v>0</v>
      </c>
      <c r="BG11">
        <v>4</v>
      </c>
      <c r="BH11" s="21">
        <v>45</v>
      </c>
      <c r="BI11">
        <v>0</v>
      </c>
      <c r="BJ11">
        <v>0</v>
      </c>
      <c r="BM11" t="s">
        <v>442</v>
      </c>
      <c r="BN11" t="s">
        <v>246</v>
      </c>
      <c r="BQ11">
        <v>2</v>
      </c>
      <c r="BR11">
        <v>4</v>
      </c>
      <c r="BS11" s="16">
        <f t="shared" si="7"/>
        <v>323.40000000000003</v>
      </c>
      <c r="BT11" s="16">
        <f t="shared" si="8"/>
        <v>194.04</v>
      </c>
      <c r="BU11" s="76"/>
      <c r="BV11" t="s">
        <v>629</v>
      </c>
    </row>
    <row r="12" spans="1:74">
      <c r="A12">
        <v>7</v>
      </c>
      <c r="B12" s="1">
        <v>3</v>
      </c>
      <c r="G12" s="1" t="s">
        <v>440</v>
      </c>
      <c r="H12" s="2" t="s">
        <v>393</v>
      </c>
      <c r="I12">
        <f t="shared" si="0"/>
        <v>47.334000000000003</v>
      </c>
      <c r="J12">
        <f t="shared" si="0"/>
        <v>47.334000000000003</v>
      </c>
      <c r="K12">
        <f t="shared" si="0"/>
        <v>47.334000000000003</v>
      </c>
      <c r="L12">
        <v>3725</v>
      </c>
      <c r="M12">
        <v>1950</v>
      </c>
      <c r="N12">
        <v>0</v>
      </c>
      <c r="O12">
        <f>80*9.8</f>
        <v>784</v>
      </c>
      <c r="P12">
        <v>250</v>
      </c>
      <c r="Q12">
        <v>500</v>
      </c>
      <c r="R12" t="s">
        <v>57</v>
      </c>
      <c r="T12">
        <v>19.100000000000001</v>
      </c>
      <c r="U12">
        <v>287</v>
      </c>
      <c r="V12" s="1">
        <f t="shared" si="1"/>
        <v>351.82</v>
      </c>
      <c r="W12" s="21">
        <v>205</v>
      </c>
      <c r="X12" t="s">
        <v>246</v>
      </c>
      <c r="Y12">
        <v>250</v>
      </c>
      <c r="Z12">
        <v>2</v>
      </c>
      <c r="AA12">
        <v>9</v>
      </c>
      <c r="AB12">
        <v>63.6</v>
      </c>
      <c r="AC12" s="16">
        <f t="shared" si="2"/>
        <v>323.40000000000003</v>
      </c>
      <c r="AD12" s="16">
        <f t="shared" si="3"/>
        <v>194.04</v>
      </c>
      <c r="AE12" s="1">
        <v>4</v>
      </c>
      <c r="AF12" s="21">
        <v>80</v>
      </c>
      <c r="AG12" s="1">
        <v>0</v>
      </c>
      <c r="AH12" s="1">
        <v>0</v>
      </c>
      <c r="AI12" s="1">
        <v>4</v>
      </c>
      <c r="AJ12" s="21">
        <v>80</v>
      </c>
      <c r="AK12" s="1">
        <v>0</v>
      </c>
      <c r="AL12" s="1">
        <v>0</v>
      </c>
      <c r="AN12">
        <v>325</v>
      </c>
      <c r="AO12">
        <v>325</v>
      </c>
      <c r="AP12" t="s">
        <v>39</v>
      </c>
      <c r="AR12">
        <v>15.9</v>
      </c>
      <c r="AS12">
        <v>199</v>
      </c>
      <c r="AT12">
        <f t="shared" si="4"/>
        <v>312.62</v>
      </c>
      <c r="AU12" s="16">
        <v>205</v>
      </c>
      <c r="AV12" t="s">
        <v>246</v>
      </c>
      <c r="AW12">
        <v>130</v>
      </c>
      <c r="AX12">
        <v>2</v>
      </c>
      <c r="AY12">
        <v>9</v>
      </c>
      <c r="AZ12">
        <v>63.6</v>
      </c>
      <c r="BA12" s="16">
        <f t="shared" si="5"/>
        <v>323.40000000000003</v>
      </c>
      <c r="BB12" s="16">
        <f t="shared" si="6"/>
        <v>194.04</v>
      </c>
      <c r="BC12">
        <v>4</v>
      </c>
      <c r="BD12" s="21">
        <v>45</v>
      </c>
      <c r="BE12">
        <v>0</v>
      </c>
      <c r="BF12">
        <v>0</v>
      </c>
      <c r="BG12">
        <v>4</v>
      </c>
      <c r="BH12" s="21">
        <v>45</v>
      </c>
      <c r="BI12">
        <v>0</v>
      </c>
      <c r="BJ12">
        <v>0</v>
      </c>
      <c r="BM12" t="s">
        <v>442</v>
      </c>
      <c r="BN12" t="s">
        <v>246</v>
      </c>
      <c r="BQ12">
        <v>2</v>
      </c>
      <c r="BR12">
        <v>4</v>
      </c>
      <c r="BS12" s="16">
        <f t="shared" si="7"/>
        <v>323.40000000000003</v>
      </c>
      <c r="BT12" s="16">
        <f t="shared" si="8"/>
        <v>194.04</v>
      </c>
      <c r="BU12" s="76"/>
      <c r="BV12" t="s">
        <v>629</v>
      </c>
    </row>
    <row r="13" spans="1:74">
      <c r="A13">
        <v>8</v>
      </c>
      <c r="B13" s="1">
        <v>3</v>
      </c>
      <c r="G13" s="1" t="s">
        <v>441</v>
      </c>
      <c r="H13" s="2" t="s">
        <v>394</v>
      </c>
      <c r="I13">
        <f t="shared" si="0"/>
        <v>47.334000000000003</v>
      </c>
      <c r="J13">
        <f t="shared" si="0"/>
        <v>47.334000000000003</v>
      </c>
      <c r="K13">
        <f t="shared" si="0"/>
        <v>47.334000000000003</v>
      </c>
      <c r="L13">
        <v>3725</v>
      </c>
      <c r="M13">
        <v>1950</v>
      </c>
      <c r="N13">
        <v>0</v>
      </c>
      <c r="O13">
        <f>80*9.8</f>
        <v>784</v>
      </c>
      <c r="P13">
        <v>250</v>
      </c>
      <c r="Q13">
        <v>500</v>
      </c>
      <c r="R13" t="s">
        <v>57</v>
      </c>
      <c r="T13">
        <v>19.100000000000001</v>
      </c>
      <c r="U13">
        <v>287</v>
      </c>
      <c r="V13" s="1">
        <f t="shared" si="1"/>
        <v>351.82</v>
      </c>
      <c r="W13" s="21">
        <v>205</v>
      </c>
      <c r="X13" t="s">
        <v>246</v>
      </c>
      <c r="Y13">
        <v>250</v>
      </c>
      <c r="Z13">
        <v>2</v>
      </c>
      <c r="AA13">
        <v>9</v>
      </c>
      <c r="AB13">
        <v>63.6</v>
      </c>
      <c r="AC13" s="16">
        <f t="shared" si="2"/>
        <v>323.40000000000003</v>
      </c>
      <c r="AD13" s="16">
        <f t="shared" si="3"/>
        <v>194.04</v>
      </c>
      <c r="AE13" s="1">
        <v>4</v>
      </c>
      <c r="AF13" s="21">
        <v>80</v>
      </c>
      <c r="AG13" s="1">
        <v>0</v>
      </c>
      <c r="AH13" s="1">
        <v>0</v>
      </c>
      <c r="AI13" s="1">
        <v>4</v>
      </c>
      <c r="AJ13" s="21">
        <v>80</v>
      </c>
      <c r="AK13" s="1">
        <v>0</v>
      </c>
      <c r="AL13" s="1">
        <v>0</v>
      </c>
      <c r="AN13">
        <v>325</v>
      </c>
      <c r="AO13">
        <v>325</v>
      </c>
      <c r="AP13" t="s">
        <v>39</v>
      </c>
      <c r="AR13">
        <v>15.9</v>
      </c>
      <c r="AS13">
        <v>199</v>
      </c>
      <c r="AT13">
        <f t="shared" si="4"/>
        <v>312.62</v>
      </c>
      <c r="AU13" s="16">
        <v>205</v>
      </c>
      <c r="AV13" t="s">
        <v>246</v>
      </c>
      <c r="AW13">
        <v>130</v>
      </c>
      <c r="AX13">
        <v>2</v>
      </c>
      <c r="AY13">
        <v>9</v>
      </c>
      <c r="AZ13">
        <v>63.6</v>
      </c>
      <c r="BA13" s="16">
        <f t="shared" si="5"/>
        <v>323.40000000000003</v>
      </c>
      <c r="BB13" s="16">
        <f t="shared" si="6"/>
        <v>194.04</v>
      </c>
      <c r="BC13">
        <v>4</v>
      </c>
      <c r="BD13" s="21">
        <v>45</v>
      </c>
      <c r="BE13">
        <v>0</v>
      </c>
      <c r="BF13">
        <v>0</v>
      </c>
      <c r="BG13">
        <v>4</v>
      </c>
      <c r="BH13" s="21">
        <v>45</v>
      </c>
      <c r="BI13">
        <v>0</v>
      </c>
      <c r="BJ13">
        <v>0</v>
      </c>
      <c r="BM13" t="s">
        <v>442</v>
      </c>
      <c r="BN13" t="s">
        <v>246</v>
      </c>
      <c r="BQ13">
        <v>2</v>
      </c>
      <c r="BR13">
        <v>4</v>
      </c>
      <c r="BS13" s="16">
        <f t="shared" si="7"/>
        <v>323.40000000000003</v>
      </c>
      <c r="BT13" s="16">
        <f t="shared" si="8"/>
        <v>194.04</v>
      </c>
      <c r="BU13" s="76"/>
      <c r="BV13" t="s">
        <v>629</v>
      </c>
    </row>
    <row r="14" spans="1:74">
      <c r="A14">
        <v>9</v>
      </c>
      <c r="B14" s="1">
        <v>1</v>
      </c>
      <c r="C14" s="1">
        <v>2</v>
      </c>
      <c r="D14" s="1" t="s">
        <v>28</v>
      </c>
      <c r="E14" s="1">
        <v>1973</v>
      </c>
      <c r="F14" s="1" t="s">
        <v>27</v>
      </c>
      <c r="G14" s="1" t="s">
        <v>439</v>
      </c>
      <c r="H14" s="1" t="s">
        <v>404</v>
      </c>
      <c r="I14" s="1">
        <f t="shared" ref="I14:K16" si="9">180.8*9.8/100</f>
        <v>17.718400000000003</v>
      </c>
      <c r="J14" s="1">
        <f t="shared" si="9"/>
        <v>17.718400000000003</v>
      </c>
      <c r="K14" s="1">
        <f t="shared" si="9"/>
        <v>17.718400000000003</v>
      </c>
      <c r="L14" s="1">
        <v>1200</v>
      </c>
      <c r="M14" s="1">
        <v>1200</v>
      </c>
      <c r="N14">
        <v>0</v>
      </c>
      <c r="O14">
        <v>0</v>
      </c>
      <c r="P14" s="1">
        <v>150</v>
      </c>
      <c r="Q14" s="1">
        <v>150</v>
      </c>
      <c r="R14" s="1" t="s">
        <v>407</v>
      </c>
      <c r="S14" s="30" t="s">
        <v>408</v>
      </c>
      <c r="T14" s="1">
        <v>12.7</v>
      </c>
      <c r="U14" s="1">
        <v>127</v>
      </c>
      <c r="V14" s="1">
        <f>3.69*1000*9.8/100</f>
        <v>361.62</v>
      </c>
      <c r="W14" s="21">
        <v>205</v>
      </c>
      <c r="X14" t="s">
        <v>411</v>
      </c>
      <c r="Y14" s="16">
        <v>100</v>
      </c>
      <c r="Z14">
        <v>2</v>
      </c>
      <c r="AA14">
        <v>5</v>
      </c>
      <c r="AB14">
        <v>19.600000000000001</v>
      </c>
      <c r="AC14" s="22">
        <f t="shared" si="2"/>
        <v>323.40000000000003</v>
      </c>
      <c r="AD14" s="22">
        <f t="shared" si="3"/>
        <v>194.04</v>
      </c>
      <c r="AE14" s="1">
        <v>2</v>
      </c>
      <c r="AF14">
        <f>25+AA14+T14/2</f>
        <v>36.35</v>
      </c>
      <c r="AG14" s="1">
        <v>0</v>
      </c>
      <c r="AH14" s="1">
        <v>0</v>
      </c>
      <c r="AI14">
        <v>2</v>
      </c>
      <c r="AJ14">
        <f>25+AA14+T14/2</f>
        <v>36.35</v>
      </c>
      <c r="AK14">
        <v>0</v>
      </c>
      <c r="AL14">
        <v>0</v>
      </c>
      <c r="AN14">
        <v>150</v>
      </c>
      <c r="AO14">
        <v>150</v>
      </c>
      <c r="AP14" t="s">
        <v>407</v>
      </c>
      <c r="AQ14" s="30" t="s">
        <v>408</v>
      </c>
      <c r="AR14">
        <v>12.7</v>
      </c>
      <c r="AS14">
        <v>127</v>
      </c>
      <c r="AT14">
        <f>3.69*9.8*1000/100</f>
        <v>361.62</v>
      </c>
      <c r="AU14" s="16">
        <v>205</v>
      </c>
      <c r="AV14" t="s">
        <v>413</v>
      </c>
      <c r="AW14">
        <v>100</v>
      </c>
      <c r="AX14" s="57">
        <v>2</v>
      </c>
      <c r="AY14">
        <v>5</v>
      </c>
      <c r="AZ14">
        <v>19.600000000000001</v>
      </c>
      <c r="BA14" s="22">
        <f t="shared" si="5"/>
        <v>323.40000000000003</v>
      </c>
      <c r="BB14" s="22">
        <f t="shared" si="6"/>
        <v>194.04</v>
      </c>
      <c r="BC14">
        <v>2</v>
      </c>
      <c r="BD14">
        <f>25+AY14+AR14/2</f>
        <v>36.35</v>
      </c>
      <c r="BE14">
        <v>0</v>
      </c>
      <c r="BF14">
        <v>0</v>
      </c>
      <c r="BG14">
        <v>2</v>
      </c>
      <c r="BH14">
        <f>25+AY14+AR14/2</f>
        <v>36.35</v>
      </c>
      <c r="BI14">
        <v>0</v>
      </c>
      <c r="BJ14">
        <v>0</v>
      </c>
      <c r="BM14" t="s">
        <v>443</v>
      </c>
      <c r="BP14" s="30">
        <v>19.600000000000001</v>
      </c>
      <c r="BQ14">
        <v>0</v>
      </c>
      <c r="BR14">
        <v>0</v>
      </c>
      <c r="BS14">
        <v>0</v>
      </c>
      <c r="BT14">
        <v>0</v>
      </c>
      <c r="BU14" s="23">
        <v>0</v>
      </c>
    </row>
    <row r="15" spans="1:74">
      <c r="A15">
        <v>10</v>
      </c>
      <c r="B15" s="1">
        <v>3</v>
      </c>
      <c r="G15" s="1" t="s">
        <v>439</v>
      </c>
      <c r="H15" s="1" t="s">
        <v>405</v>
      </c>
      <c r="I15" s="1">
        <f t="shared" si="9"/>
        <v>17.718400000000003</v>
      </c>
      <c r="J15" s="1">
        <f t="shared" si="9"/>
        <v>17.718400000000003</v>
      </c>
      <c r="K15" s="1">
        <f t="shared" si="9"/>
        <v>17.718400000000003</v>
      </c>
      <c r="L15" s="1">
        <v>1200</v>
      </c>
      <c r="M15" s="1">
        <v>1200</v>
      </c>
      <c r="N15">
        <v>0</v>
      </c>
      <c r="O15">
        <v>0</v>
      </c>
      <c r="P15" s="1">
        <v>300</v>
      </c>
      <c r="Q15" s="1">
        <v>150</v>
      </c>
      <c r="R15" s="1" t="s">
        <v>407</v>
      </c>
      <c r="S15" s="30" t="s">
        <v>408</v>
      </c>
      <c r="T15" s="1">
        <v>12.7</v>
      </c>
      <c r="U15" s="1">
        <v>127</v>
      </c>
      <c r="V15" s="1">
        <f>3.69*1000*9.8/100</f>
        <v>361.62</v>
      </c>
      <c r="W15" s="21">
        <v>205</v>
      </c>
      <c r="X15" t="s">
        <v>411</v>
      </c>
      <c r="Y15" s="16">
        <v>100</v>
      </c>
      <c r="Z15">
        <v>2</v>
      </c>
      <c r="AA15">
        <v>5</v>
      </c>
      <c r="AB15">
        <v>19.600000000000001</v>
      </c>
      <c r="AC15" s="22">
        <f t="shared" si="2"/>
        <v>323.40000000000003</v>
      </c>
      <c r="AD15" s="22">
        <f t="shared" si="3"/>
        <v>194.04</v>
      </c>
      <c r="AE15" s="1">
        <v>4</v>
      </c>
      <c r="AF15">
        <f>25+AA15+T15/2</f>
        <v>36.35</v>
      </c>
      <c r="AG15" s="1">
        <v>0</v>
      </c>
      <c r="AH15" s="1">
        <v>0</v>
      </c>
      <c r="AI15">
        <v>4</v>
      </c>
      <c r="AJ15">
        <f>25+AA15+T15/2</f>
        <v>36.35</v>
      </c>
      <c r="AK15">
        <v>0</v>
      </c>
      <c r="AL15">
        <v>0</v>
      </c>
      <c r="AN15">
        <v>300</v>
      </c>
      <c r="AO15">
        <v>150</v>
      </c>
      <c r="AP15" t="s">
        <v>412</v>
      </c>
      <c r="AQ15" s="30" t="s">
        <v>408</v>
      </c>
      <c r="AR15">
        <v>12.7</v>
      </c>
      <c r="AS15">
        <v>127</v>
      </c>
      <c r="AT15">
        <f>3.69*9.8*1000/100</f>
        <v>361.62</v>
      </c>
      <c r="AU15" s="16">
        <v>205</v>
      </c>
      <c r="AV15" t="s">
        <v>410</v>
      </c>
      <c r="AW15">
        <v>100</v>
      </c>
      <c r="AX15" s="57">
        <v>4</v>
      </c>
      <c r="AY15">
        <v>5</v>
      </c>
      <c r="AZ15">
        <v>19.600000000000001</v>
      </c>
      <c r="BA15" s="22">
        <f t="shared" si="5"/>
        <v>323.40000000000003</v>
      </c>
      <c r="BB15" s="22">
        <f t="shared" si="6"/>
        <v>194.04</v>
      </c>
      <c r="BC15">
        <v>4</v>
      </c>
      <c r="BD15">
        <f>25+AY15+AR15/2</f>
        <v>36.35</v>
      </c>
      <c r="BE15">
        <v>0</v>
      </c>
      <c r="BF15">
        <v>0</v>
      </c>
      <c r="BG15">
        <v>4</v>
      </c>
      <c r="BH15">
        <f>25+AY15+AR15/2</f>
        <v>36.35</v>
      </c>
      <c r="BI15">
        <v>0</v>
      </c>
      <c r="BJ15">
        <v>0</v>
      </c>
      <c r="BM15" t="s">
        <v>444</v>
      </c>
      <c r="BQ15">
        <v>0</v>
      </c>
      <c r="BR15">
        <v>0</v>
      </c>
      <c r="BS15">
        <v>0</v>
      </c>
      <c r="BT15">
        <v>0</v>
      </c>
      <c r="BU15" s="23">
        <v>0</v>
      </c>
    </row>
    <row r="16" spans="1:74">
      <c r="A16">
        <v>11</v>
      </c>
      <c r="B16" s="1">
        <v>3</v>
      </c>
      <c r="G16" s="1" t="s">
        <v>439</v>
      </c>
      <c r="H16" s="1" t="s">
        <v>406</v>
      </c>
      <c r="I16" s="1">
        <f t="shared" si="9"/>
        <v>17.718400000000003</v>
      </c>
      <c r="J16" s="1">
        <f t="shared" si="9"/>
        <v>17.718400000000003</v>
      </c>
      <c r="K16" s="1">
        <f t="shared" si="9"/>
        <v>17.718400000000003</v>
      </c>
      <c r="L16" s="1">
        <v>1200</v>
      </c>
      <c r="M16" s="1">
        <v>1200</v>
      </c>
      <c r="N16">
        <v>0</v>
      </c>
      <c r="O16">
        <v>0</v>
      </c>
      <c r="P16" s="1">
        <v>600</v>
      </c>
      <c r="Q16" s="1">
        <v>150</v>
      </c>
      <c r="R16" s="1" t="s">
        <v>407</v>
      </c>
      <c r="S16" s="30" t="s">
        <v>409</v>
      </c>
      <c r="T16" s="1">
        <v>12.7</v>
      </c>
      <c r="U16" s="1">
        <v>127</v>
      </c>
      <c r="V16" s="1">
        <f>3.69*1000*9.8/100</f>
        <v>361.62</v>
      </c>
      <c r="W16" s="21">
        <v>205</v>
      </c>
      <c r="X16" t="s">
        <v>229</v>
      </c>
      <c r="Y16" s="16">
        <v>100</v>
      </c>
      <c r="Z16">
        <v>2</v>
      </c>
      <c r="AA16">
        <v>5</v>
      </c>
      <c r="AB16">
        <v>19.600000000000001</v>
      </c>
      <c r="AC16" s="22">
        <f t="shared" si="2"/>
        <v>323.40000000000003</v>
      </c>
      <c r="AD16" s="22">
        <f t="shared" si="3"/>
        <v>194.04</v>
      </c>
      <c r="AE16" s="1">
        <v>8</v>
      </c>
      <c r="AF16">
        <f>25+AA16+T16/2</f>
        <v>36.35</v>
      </c>
      <c r="AG16" s="1">
        <v>0</v>
      </c>
      <c r="AH16" s="1">
        <v>0</v>
      </c>
      <c r="AI16">
        <v>8</v>
      </c>
      <c r="AJ16">
        <f>25+AA16+T16/2</f>
        <v>36.35</v>
      </c>
      <c r="AK16">
        <v>0</v>
      </c>
      <c r="AL16">
        <v>0</v>
      </c>
      <c r="AN16">
        <v>600</v>
      </c>
      <c r="AO16">
        <v>150</v>
      </c>
      <c r="AP16" t="s">
        <v>407</v>
      </c>
      <c r="AQ16" s="30" t="s">
        <v>408</v>
      </c>
      <c r="AR16">
        <v>12.7</v>
      </c>
      <c r="AS16">
        <v>127</v>
      </c>
      <c r="AT16">
        <f>3.69*9.8*1000/100</f>
        <v>361.62</v>
      </c>
      <c r="AU16" s="16">
        <v>205</v>
      </c>
      <c r="AV16" t="s">
        <v>229</v>
      </c>
      <c r="AW16">
        <v>100</v>
      </c>
      <c r="AX16" s="57">
        <v>8</v>
      </c>
      <c r="AY16">
        <v>5</v>
      </c>
      <c r="AZ16">
        <v>19.600000000000001</v>
      </c>
      <c r="BA16" s="22">
        <f t="shared" si="5"/>
        <v>323.40000000000003</v>
      </c>
      <c r="BB16" s="22">
        <f t="shared" si="6"/>
        <v>194.04</v>
      </c>
      <c r="BC16">
        <v>8</v>
      </c>
      <c r="BD16">
        <f>25+AY16+AR16/2</f>
        <v>36.35</v>
      </c>
      <c r="BE16" s="1">
        <v>0</v>
      </c>
      <c r="BF16">
        <v>0</v>
      </c>
      <c r="BG16">
        <v>8</v>
      </c>
      <c r="BH16">
        <f>25+AY16+AR16/2</f>
        <v>36.35</v>
      </c>
      <c r="BI16">
        <v>0</v>
      </c>
      <c r="BJ16">
        <v>0</v>
      </c>
      <c r="BM16" t="s">
        <v>444</v>
      </c>
      <c r="BQ16">
        <v>0</v>
      </c>
      <c r="BR16">
        <v>0</v>
      </c>
      <c r="BS16">
        <v>0</v>
      </c>
      <c r="BT16">
        <v>0</v>
      </c>
      <c r="BU16" s="23">
        <v>0</v>
      </c>
    </row>
    <row r="17" spans="1:74">
      <c r="A17">
        <v>12</v>
      </c>
      <c r="B17" s="1">
        <v>4</v>
      </c>
      <c r="C17" s="2">
        <v>3</v>
      </c>
      <c r="D17" s="2" t="s">
        <v>29</v>
      </c>
      <c r="E17" s="2">
        <v>1978</v>
      </c>
      <c r="F17" s="2" t="s">
        <v>30</v>
      </c>
    </row>
    <row r="18" spans="1:74">
      <c r="A18">
        <v>13</v>
      </c>
      <c r="B18" s="1">
        <v>4</v>
      </c>
    </row>
    <row r="19" spans="1:74">
      <c r="A19">
        <v>14</v>
      </c>
      <c r="B19" s="1">
        <v>4</v>
      </c>
    </row>
    <row r="20" spans="1:74">
      <c r="A20">
        <v>15</v>
      </c>
      <c r="B20" s="1">
        <v>4</v>
      </c>
    </row>
    <row r="21" spans="1:74">
      <c r="A21">
        <v>16</v>
      </c>
      <c r="B21" s="1">
        <v>1</v>
      </c>
      <c r="C21" s="1">
        <v>4</v>
      </c>
      <c r="D21" s="1" t="s">
        <v>31</v>
      </c>
      <c r="E21" s="1">
        <v>1978</v>
      </c>
      <c r="F21" s="1" t="s">
        <v>27</v>
      </c>
      <c r="G21" t="s">
        <v>439</v>
      </c>
      <c r="H21" s="1" t="s">
        <v>414</v>
      </c>
      <c r="I21">
        <f>197*9.8/100</f>
        <v>19.306000000000001</v>
      </c>
      <c r="J21">
        <f>197*9.8/100</f>
        <v>19.306000000000001</v>
      </c>
      <c r="K21">
        <f>197*9.8/100</f>
        <v>19.306000000000001</v>
      </c>
      <c r="L21">
        <v>2500</v>
      </c>
      <c r="M21">
        <v>1300</v>
      </c>
      <c r="N21">
        <v>0</v>
      </c>
      <c r="O21">
        <f>36*9.8</f>
        <v>352.8</v>
      </c>
      <c r="P21">
        <v>200</v>
      </c>
      <c r="Q21">
        <v>300</v>
      </c>
      <c r="R21" t="s">
        <v>415</v>
      </c>
      <c r="T21">
        <v>22.2</v>
      </c>
      <c r="U21">
        <v>387</v>
      </c>
      <c r="V21" s="1">
        <f>3633*9.8/100</f>
        <v>356.03399999999999</v>
      </c>
      <c r="W21" s="1">
        <f>1.94*9.8*1000000/100000</f>
        <v>190.12</v>
      </c>
      <c r="X21" t="s">
        <v>416</v>
      </c>
      <c r="Y21">
        <v>100</v>
      </c>
      <c r="Z21">
        <v>2</v>
      </c>
      <c r="AA21">
        <v>9</v>
      </c>
      <c r="AB21">
        <v>63.6</v>
      </c>
      <c r="AC21" s="1">
        <f>3300*9.8/100</f>
        <v>323.40000000000003</v>
      </c>
      <c r="AD21" s="1">
        <f>1.98*9.8*1000000/100000</f>
        <v>194.04</v>
      </c>
      <c r="AE21">
        <v>3</v>
      </c>
      <c r="AF21">
        <v>50</v>
      </c>
      <c r="AG21">
        <v>0</v>
      </c>
      <c r="AH21">
        <v>0</v>
      </c>
      <c r="AI21">
        <v>3</v>
      </c>
      <c r="AJ21">
        <v>50</v>
      </c>
      <c r="AK21">
        <v>0</v>
      </c>
      <c r="AL21">
        <v>0</v>
      </c>
      <c r="AN21">
        <v>300</v>
      </c>
      <c r="AO21">
        <v>300</v>
      </c>
      <c r="AP21" t="s">
        <v>415</v>
      </c>
      <c r="AR21">
        <v>22.2</v>
      </c>
      <c r="AS21">
        <v>387</v>
      </c>
      <c r="AT21" s="1">
        <f>3633*9.8/100</f>
        <v>356.03399999999999</v>
      </c>
      <c r="AU21" s="1">
        <f>1940*9.8/100</f>
        <v>190.12</v>
      </c>
      <c r="AV21" t="s">
        <v>416</v>
      </c>
      <c r="AW21">
        <v>60</v>
      </c>
      <c r="AX21">
        <v>2</v>
      </c>
      <c r="AY21">
        <v>9</v>
      </c>
      <c r="AZ21">
        <v>63.6</v>
      </c>
      <c r="BA21" s="1">
        <f>3300*9.8/100</f>
        <v>323.40000000000003</v>
      </c>
      <c r="BB21" s="1">
        <f t="shared" ref="BB21:BB33" si="10">1.98*9.8*1000000/100000</f>
        <v>194.04</v>
      </c>
      <c r="BC21">
        <v>4</v>
      </c>
      <c r="BD21">
        <v>50</v>
      </c>
      <c r="BE21">
        <v>0</v>
      </c>
      <c r="BF21">
        <v>0</v>
      </c>
      <c r="BG21">
        <v>4</v>
      </c>
      <c r="BH21">
        <v>50</v>
      </c>
      <c r="BI21">
        <v>0</v>
      </c>
      <c r="BJ21">
        <v>0</v>
      </c>
      <c r="BM21" t="s">
        <v>442</v>
      </c>
      <c r="BN21" t="s">
        <v>620</v>
      </c>
      <c r="BP21" s="30">
        <v>63.6</v>
      </c>
      <c r="BQ21" s="16">
        <v>4</v>
      </c>
      <c r="BR21" s="16">
        <v>8</v>
      </c>
      <c r="BS21">
        <f>3300*9.8/100</f>
        <v>323.40000000000003</v>
      </c>
      <c r="BT21">
        <f>1980*9.8/100</f>
        <v>194.04</v>
      </c>
      <c r="BU21" s="23">
        <v>0.7</v>
      </c>
    </row>
    <row r="22" spans="1:74">
      <c r="A22">
        <v>17</v>
      </c>
      <c r="B22" s="1">
        <v>5</v>
      </c>
      <c r="C22" s="1">
        <v>5</v>
      </c>
      <c r="D22" s="1" t="s">
        <v>32</v>
      </c>
      <c r="E22" s="1">
        <v>1984</v>
      </c>
      <c r="F22" s="1" t="s">
        <v>33</v>
      </c>
      <c r="G22" t="s">
        <v>439</v>
      </c>
      <c r="H22" s="1" t="s">
        <v>418</v>
      </c>
      <c r="I22">
        <f>262*9.8/100</f>
        <v>25.676000000000002</v>
      </c>
      <c r="J22">
        <f>262*9.8/100</f>
        <v>25.676000000000002</v>
      </c>
      <c r="K22">
        <f>262*9.8/100</f>
        <v>25.676000000000002</v>
      </c>
      <c r="L22">
        <v>2700</v>
      </c>
      <c r="M22">
        <v>1470</v>
      </c>
      <c r="N22">
        <v>0</v>
      </c>
      <c r="O22">
        <f>18*9.8</f>
        <v>176.4</v>
      </c>
      <c r="P22">
        <v>200</v>
      </c>
      <c r="Q22">
        <v>300</v>
      </c>
      <c r="R22" t="s">
        <v>423</v>
      </c>
      <c r="T22">
        <v>12.7</v>
      </c>
      <c r="U22">
        <v>127</v>
      </c>
      <c r="V22" s="1">
        <f>4090*9.8/100</f>
        <v>400.82</v>
      </c>
      <c r="W22" s="21">
        <v>205</v>
      </c>
      <c r="X22" t="s">
        <v>424</v>
      </c>
      <c r="Y22">
        <v>50</v>
      </c>
      <c r="Z22">
        <v>2</v>
      </c>
      <c r="AA22">
        <v>6.35</v>
      </c>
      <c r="AB22">
        <v>31.7</v>
      </c>
      <c r="AC22">
        <f t="shared" ref="AC22:AC27" si="11">3750*9.8/100</f>
        <v>367.5</v>
      </c>
      <c r="AD22" s="21">
        <v>205</v>
      </c>
      <c r="AE22" s="16">
        <v>4</v>
      </c>
      <c r="AF22">
        <f t="shared" ref="AF22:AF27" si="12">30+AA22+T22/2</f>
        <v>42.7</v>
      </c>
      <c r="AG22" s="16">
        <v>4</v>
      </c>
      <c r="AH22" s="21">
        <f>2.5*13</f>
        <v>32.5</v>
      </c>
      <c r="AI22" s="16">
        <v>4</v>
      </c>
      <c r="AJ22">
        <f t="shared" ref="AJ22:AJ27" si="13">30+AA22+T22/2</f>
        <v>42.7</v>
      </c>
      <c r="AK22">
        <v>0</v>
      </c>
      <c r="AL22">
        <v>0</v>
      </c>
      <c r="AN22">
        <v>300</v>
      </c>
      <c r="AO22">
        <v>300</v>
      </c>
      <c r="AP22" t="s">
        <v>423</v>
      </c>
      <c r="AR22">
        <v>12.7</v>
      </c>
      <c r="AS22">
        <v>127</v>
      </c>
      <c r="AT22">
        <f>4090*9.8/100</f>
        <v>400.82</v>
      </c>
      <c r="AU22" s="16">
        <v>205</v>
      </c>
      <c r="AV22" t="s">
        <v>425</v>
      </c>
      <c r="AW22">
        <v>80</v>
      </c>
      <c r="AX22">
        <v>2</v>
      </c>
      <c r="AY22">
        <v>6.35</v>
      </c>
      <c r="AZ22">
        <v>31.7</v>
      </c>
      <c r="BA22">
        <f t="shared" ref="BA22:BA27" si="14">3750*9.8/100</f>
        <v>367.5</v>
      </c>
      <c r="BB22" s="21">
        <f t="shared" si="10"/>
        <v>194.04</v>
      </c>
      <c r="BC22" s="16">
        <v>5</v>
      </c>
      <c r="BD22" s="16">
        <f t="shared" ref="BD22:BD27" si="15">30+AY22+AR22/2</f>
        <v>42.7</v>
      </c>
      <c r="BE22" s="16">
        <v>2</v>
      </c>
      <c r="BF22" s="21">
        <f>2.5*13</f>
        <v>32.5</v>
      </c>
      <c r="BG22" s="16">
        <v>5</v>
      </c>
      <c r="BH22" s="16">
        <f t="shared" ref="BH22:BH27" si="16">30+AY22+AR22/2</f>
        <v>42.7</v>
      </c>
      <c r="BI22" s="16">
        <v>2</v>
      </c>
      <c r="BJ22" s="21">
        <f>2.5*13</f>
        <v>32.5</v>
      </c>
      <c r="BL22" s="30">
        <v>2</v>
      </c>
      <c r="BN22" t="s">
        <v>618</v>
      </c>
      <c r="BP22" s="30">
        <v>31.7</v>
      </c>
      <c r="BQ22">
        <v>3</v>
      </c>
      <c r="BR22">
        <v>6</v>
      </c>
      <c r="BS22">
        <f t="shared" ref="BS22:BS27" si="17">3750*9.8/100</f>
        <v>367.5</v>
      </c>
      <c r="BT22" s="16">
        <v>205</v>
      </c>
      <c r="BU22" s="76">
        <v>0.28000000000000003</v>
      </c>
      <c r="BV22" t="s">
        <v>630</v>
      </c>
    </row>
    <row r="23" spans="1:74">
      <c r="A23">
        <v>18</v>
      </c>
      <c r="B23" s="1">
        <v>5</v>
      </c>
      <c r="G23" t="s">
        <v>439</v>
      </c>
      <c r="H23" s="1" t="s">
        <v>299</v>
      </c>
      <c r="I23">
        <f t="shared" ref="I23:K24" si="18">245*9.8/100</f>
        <v>24.01</v>
      </c>
      <c r="J23">
        <f t="shared" si="18"/>
        <v>24.01</v>
      </c>
      <c r="K23">
        <f t="shared" si="18"/>
        <v>24.01</v>
      </c>
      <c r="L23">
        <v>2700</v>
      </c>
      <c r="M23">
        <v>1470</v>
      </c>
      <c r="N23">
        <v>0</v>
      </c>
      <c r="O23">
        <f>18*9.8</f>
        <v>176.4</v>
      </c>
      <c r="P23">
        <v>200</v>
      </c>
      <c r="Q23">
        <v>300</v>
      </c>
      <c r="R23" t="s">
        <v>423</v>
      </c>
      <c r="T23">
        <v>12.7</v>
      </c>
      <c r="U23">
        <v>127</v>
      </c>
      <c r="V23" s="1">
        <f>4090*9.8/100</f>
        <v>400.82</v>
      </c>
      <c r="W23" s="21">
        <v>205</v>
      </c>
      <c r="X23" t="s">
        <v>425</v>
      </c>
      <c r="Y23">
        <v>50</v>
      </c>
      <c r="Z23">
        <v>2</v>
      </c>
      <c r="AA23">
        <v>6.35</v>
      </c>
      <c r="AB23">
        <v>31.7</v>
      </c>
      <c r="AC23">
        <f t="shared" si="11"/>
        <v>367.5</v>
      </c>
      <c r="AD23" s="21">
        <v>205</v>
      </c>
      <c r="AE23" s="16">
        <v>4</v>
      </c>
      <c r="AF23">
        <f t="shared" si="12"/>
        <v>42.7</v>
      </c>
      <c r="AG23" s="16">
        <v>4</v>
      </c>
      <c r="AH23" s="21">
        <f>2.5*13</f>
        <v>32.5</v>
      </c>
      <c r="AI23" s="16">
        <v>4</v>
      </c>
      <c r="AJ23">
        <f t="shared" si="13"/>
        <v>42.7</v>
      </c>
      <c r="AK23">
        <v>0</v>
      </c>
      <c r="AL23">
        <v>0</v>
      </c>
      <c r="AN23">
        <v>300</v>
      </c>
      <c r="AO23">
        <v>300</v>
      </c>
      <c r="AP23" t="s">
        <v>427</v>
      </c>
      <c r="AR23">
        <v>12.7</v>
      </c>
      <c r="AS23">
        <v>127</v>
      </c>
      <c r="AT23">
        <f>4090*9.8/100</f>
        <v>400.82</v>
      </c>
      <c r="AU23" s="16">
        <v>205</v>
      </c>
      <c r="AV23" t="s">
        <v>425</v>
      </c>
      <c r="AW23">
        <v>75</v>
      </c>
      <c r="AX23">
        <v>4</v>
      </c>
      <c r="AY23">
        <v>6.35</v>
      </c>
      <c r="AZ23">
        <v>31.7</v>
      </c>
      <c r="BA23">
        <f t="shared" si="14"/>
        <v>367.5</v>
      </c>
      <c r="BB23" s="21">
        <f t="shared" si="10"/>
        <v>194.04</v>
      </c>
      <c r="BC23" s="16">
        <v>5</v>
      </c>
      <c r="BD23" s="16">
        <f t="shared" si="15"/>
        <v>42.7</v>
      </c>
      <c r="BE23" s="16">
        <v>2</v>
      </c>
      <c r="BF23" s="21">
        <f>2.5*13</f>
        <v>32.5</v>
      </c>
      <c r="BG23" s="16">
        <v>5</v>
      </c>
      <c r="BH23" s="16">
        <f t="shared" si="16"/>
        <v>42.7</v>
      </c>
      <c r="BI23" s="16">
        <v>2</v>
      </c>
      <c r="BJ23" s="21">
        <f>2.5*13</f>
        <v>32.5</v>
      </c>
      <c r="BL23" s="30">
        <v>2</v>
      </c>
      <c r="BN23" t="s">
        <v>619</v>
      </c>
      <c r="BP23" s="30">
        <v>31.7</v>
      </c>
      <c r="BQ23">
        <v>3</v>
      </c>
      <c r="BR23">
        <v>12</v>
      </c>
      <c r="BS23">
        <f t="shared" si="17"/>
        <v>367.5</v>
      </c>
      <c r="BT23" s="16">
        <v>205</v>
      </c>
      <c r="BU23" s="76">
        <v>0.56999999999999995</v>
      </c>
      <c r="BV23" t="s">
        <v>630</v>
      </c>
    </row>
    <row r="24" spans="1:74" s="1" customFormat="1">
      <c r="A24">
        <v>19</v>
      </c>
      <c r="B24" s="1">
        <v>5</v>
      </c>
      <c r="G24" t="s">
        <v>439</v>
      </c>
      <c r="H24" s="1" t="s">
        <v>419</v>
      </c>
      <c r="I24" s="1">
        <f t="shared" si="18"/>
        <v>24.01</v>
      </c>
      <c r="J24" s="1">
        <f t="shared" si="18"/>
        <v>24.01</v>
      </c>
      <c r="K24" s="1">
        <f t="shared" si="18"/>
        <v>24.01</v>
      </c>
      <c r="L24" s="1">
        <v>2700</v>
      </c>
      <c r="M24" s="1">
        <v>1470</v>
      </c>
      <c r="N24">
        <v>0</v>
      </c>
      <c r="O24" s="1">
        <f>18*9.8</f>
        <v>176.4</v>
      </c>
      <c r="P24" s="1">
        <v>200</v>
      </c>
      <c r="Q24" s="1">
        <v>300</v>
      </c>
      <c r="R24" s="1" t="s">
        <v>62</v>
      </c>
      <c r="S24" s="30"/>
      <c r="T24" s="1">
        <v>12.7</v>
      </c>
      <c r="U24" s="1">
        <v>127</v>
      </c>
      <c r="V24" s="1">
        <f>4090*9.8/100</f>
        <v>400.82</v>
      </c>
      <c r="W24" s="21">
        <v>205</v>
      </c>
      <c r="X24" s="1" t="s">
        <v>40</v>
      </c>
      <c r="Y24" s="1">
        <v>50</v>
      </c>
      <c r="Z24" s="1">
        <v>2</v>
      </c>
      <c r="AA24" s="1">
        <v>6.35</v>
      </c>
      <c r="AB24">
        <v>31.7</v>
      </c>
      <c r="AC24" s="1">
        <f t="shared" si="11"/>
        <v>367.5</v>
      </c>
      <c r="AD24" s="21">
        <v>205</v>
      </c>
      <c r="AE24" s="21">
        <v>4</v>
      </c>
      <c r="AF24">
        <f t="shared" si="12"/>
        <v>42.7</v>
      </c>
      <c r="AG24" s="21">
        <v>4</v>
      </c>
      <c r="AH24" s="21">
        <f>2.5*13</f>
        <v>32.5</v>
      </c>
      <c r="AI24" s="21">
        <v>4</v>
      </c>
      <c r="AJ24">
        <f t="shared" si="13"/>
        <v>42.7</v>
      </c>
      <c r="AK24" s="1">
        <v>0</v>
      </c>
      <c r="AL24" s="1">
        <v>0</v>
      </c>
      <c r="AM24" s="30"/>
      <c r="AN24" s="1">
        <v>300</v>
      </c>
      <c r="AO24" s="1">
        <v>300</v>
      </c>
      <c r="AP24" s="1" t="s">
        <v>62</v>
      </c>
      <c r="AQ24" s="30"/>
      <c r="AR24" s="1">
        <v>12.7</v>
      </c>
      <c r="AS24" s="1">
        <v>127</v>
      </c>
      <c r="AT24" s="1">
        <f>4090*9.8/100</f>
        <v>400.82</v>
      </c>
      <c r="AU24" s="16">
        <v>205</v>
      </c>
      <c r="AV24" s="1" t="s">
        <v>40</v>
      </c>
      <c r="AW24" s="1">
        <v>80</v>
      </c>
      <c r="AX24" s="1">
        <v>4</v>
      </c>
      <c r="AY24" s="1">
        <v>6.35</v>
      </c>
      <c r="AZ24">
        <v>31.7</v>
      </c>
      <c r="BA24" s="1">
        <f t="shared" si="14"/>
        <v>367.5</v>
      </c>
      <c r="BB24" s="21">
        <f t="shared" si="10"/>
        <v>194.04</v>
      </c>
      <c r="BC24" s="16">
        <v>5</v>
      </c>
      <c r="BD24" s="16">
        <f t="shared" si="15"/>
        <v>42.7</v>
      </c>
      <c r="BE24" s="16">
        <v>2</v>
      </c>
      <c r="BF24" s="21">
        <f>2.5*13</f>
        <v>32.5</v>
      </c>
      <c r="BG24" s="21">
        <v>5</v>
      </c>
      <c r="BH24" s="16">
        <f t="shared" si="16"/>
        <v>42.7</v>
      </c>
      <c r="BI24" s="21">
        <v>2</v>
      </c>
      <c r="BJ24" s="21">
        <f>2.5*13</f>
        <v>32.5</v>
      </c>
      <c r="BK24" s="30"/>
      <c r="BL24" s="30">
        <v>2</v>
      </c>
      <c r="BN24" t="s">
        <v>40</v>
      </c>
      <c r="BO24" s="30"/>
      <c r="BP24" s="30">
        <v>31.7</v>
      </c>
      <c r="BQ24" s="1">
        <v>7</v>
      </c>
      <c r="BR24" s="1">
        <v>28</v>
      </c>
      <c r="BS24" s="1">
        <f t="shared" si="17"/>
        <v>367.5</v>
      </c>
      <c r="BT24" s="16">
        <v>205</v>
      </c>
      <c r="BU24" s="76">
        <v>1.1399999999999999</v>
      </c>
      <c r="BV24" t="s">
        <v>630</v>
      </c>
    </row>
    <row r="25" spans="1:74">
      <c r="A25">
        <v>20</v>
      </c>
      <c r="B25" s="1">
        <v>5</v>
      </c>
      <c r="D25" s="95"/>
      <c r="E25" s="95"/>
      <c r="G25" t="s">
        <v>439</v>
      </c>
      <c r="H25" s="52" t="s">
        <v>420</v>
      </c>
      <c r="I25">
        <f>262*9.8/100</f>
        <v>25.676000000000002</v>
      </c>
      <c r="J25">
        <f>262*9.8/100</f>
        <v>25.676000000000002</v>
      </c>
      <c r="K25">
        <f>262*9.8/100</f>
        <v>25.676000000000002</v>
      </c>
      <c r="L25">
        <v>2700</v>
      </c>
      <c r="M25">
        <v>1470</v>
      </c>
      <c r="N25">
        <v>0</v>
      </c>
      <c r="O25">
        <f>72*9.8</f>
        <v>705.6</v>
      </c>
      <c r="P25">
        <v>200</v>
      </c>
      <c r="Q25">
        <v>300</v>
      </c>
      <c r="R25" t="s">
        <v>62</v>
      </c>
      <c r="T25">
        <v>12.7</v>
      </c>
      <c r="U25">
        <v>127</v>
      </c>
      <c r="V25" s="1">
        <f>4090*9.8/100</f>
        <v>400.82</v>
      </c>
      <c r="W25" s="21">
        <v>205</v>
      </c>
      <c r="X25" t="s">
        <v>40</v>
      </c>
      <c r="Y25">
        <v>50</v>
      </c>
      <c r="Z25">
        <v>2</v>
      </c>
      <c r="AA25">
        <v>6.35</v>
      </c>
      <c r="AB25">
        <v>31.7</v>
      </c>
      <c r="AC25">
        <f t="shared" si="11"/>
        <v>367.5</v>
      </c>
      <c r="AD25" s="21">
        <v>205</v>
      </c>
      <c r="AE25" s="16">
        <v>4</v>
      </c>
      <c r="AF25">
        <f t="shared" si="12"/>
        <v>42.7</v>
      </c>
      <c r="AG25" s="16">
        <v>4</v>
      </c>
      <c r="AH25" s="21">
        <f>2.5*13</f>
        <v>32.5</v>
      </c>
      <c r="AI25" s="16">
        <v>4</v>
      </c>
      <c r="AJ25">
        <f t="shared" si="13"/>
        <v>42.7</v>
      </c>
      <c r="AK25">
        <v>0</v>
      </c>
      <c r="AL25">
        <v>0</v>
      </c>
      <c r="AN25">
        <v>300</v>
      </c>
      <c r="AO25">
        <v>300</v>
      </c>
      <c r="AP25" t="s">
        <v>62</v>
      </c>
      <c r="AR25">
        <v>12.7</v>
      </c>
      <c r="AS25">
        <v>127</v>
      </c>
      <c r="AT25">
        <f>4090*9.8/100</f>
        <v>400.82</v>
      </c>
      <c r="AU25" s="16">
        <v>205</v>
      </c>
      <c r="AV25" t="s">
        <v>40</v>
      </c>
      <c r="AW25">
        <v>80</v>
      </c>
      <c r="AX25">
        <v>2</v>
      </c>
      <c r="AY25">
        <v>6.35</v>
      </c>
      <c r="AZ25">
        <v>31.7</v>
      </c>
      <c r="BA25">
        <f t="shared" si="14"/>
        <v>367.5</v>
      </c>
      <c r="BB25" s="21">
        <f t="shared" si="10"/>
        <v>194.04</v>
      </c>
      <c r="BC25" s="16">
        <v>5</v>
      </c>
      <c r="BD25" s="16">
        <f t="shared" si="15"/>
        <v>42.7</v>
      </c>
      <c r="BE25" s="16">
        <v>2</v>
      </c>
      <c r="BF25" s="21">
        <f>2.5*13</f>
        <v>32.5</v>
      </c>
      <c r="BG25" s="16">
        <v>5</v>
      </c>
      <c r="BH25" s="16">
        <f t="shared" si="16"/>
        <v>42.7</v>
      </c>
      <c r="BI25" s="21">
        <v>2</v>
      </c>
      <c r="BJ25" s="21">
        <f>2.5*13</f>
        <v>32.5</v>
      </c>
      <c r="BL25" s="30">
        <v>2</v>
      </c>
      <c r="BN25" t="s">
        <v>40</v>
      </c>
      <c r="BQ25">
        <v>3</v>
      </c>
      <c r="BR25">
        <v>6</v>
      </c>
      <c r="BS25">
        <f t="shared" si="17"/>
        <v>367.5</v>
      </c>
      <c r="BT25" s="16">
        <v>205</v>
      </c>
      <c r="BU25" s="76">
        <v>0.28000000000000003</v>
      </c>
      <c r="BV25" t="s">
        <v>630</v>
      </c>
    </row>
    <row r="26" spans="1:74">
      <c r="A26">
        <v>21</v>
      </c>
      <c r="B26" s="1">
        <v>5</v>
      </c>
      <c r="G26" t="s">
        <v>439</v>
      </c>
      <c r="H26" s="52" t="s">
        <v>421</v>
      </c>
      <c r="I26">
        <f t="shared" ref="I26:K27" si="19">293*9.8/100</f>
        <v>28.714000000000002</v>
      </c>
      <c r="J26">
        <f t="shared" si="19"/>
        <v>28.714000000000002</v>
      </c>
      <c r="K26">
        <f t="shared" si="19"/>
        <v>28.714000000000002</v>
      </c>
      <c r="L26">
        <v>2700</v>
      </c>
      <c r="M26">
        <v>1470</v>
      </c>
      <c r="N26">
        <v>0</v>
      </c>
      <c r="O26">
        <f>18*9.8</f>
        <v>176.4</v>
      </c>
      <c r="P26">
        <v>200</v>
      </c>
      <c r="Q26">
        <v>300</v>
      </c>
      <c r="R26" t="s">
        <v>62</v>
      </c>
      <c r="T26">
        <v>12.7</v>
      </c>
      <c r="U26">
        <v>127</v>
      </c>
      <c r="V26" s="1">
        <f>4090*9.8/100</f>
        <v>400.82</v>
      </c>
      <c r="W26" s="21">
        <v>205</v>
      </c>
      <c r="X26" t="s">
        <v>40</v>
      </c>
      <c r="Y26">
        <v>50</v>
      </c>
      <c r="Z26">
        <v>2</v>
      </c>
      <c r="AA26">
        <v>6.35</v>
      </c>
      <c r="AB26">
        <v>31.7</v>
      </c>
      <c r="AC26">
        <f t="shared" si="11"/>
        <v>367.5</v>
      </c>
      <c r="AD26" s="21">
        <v>205</v>
      </c>
      <c r="AE26" s="16">
        <v>4</v>
      </c>
      <c r="AF26">
        <f t="shared" si="12"/>
        <v>42.7</v>
      </c>
      <c r="AG26" s="16">
        <v>4</v>
      </c>
      <c r="AH26" s="21">
        <f>2.5*13</f>
        <v>32.5</v>
      </c>
      <c r="AI26" s="16">
        <v>4</v>
      </c>
      <c r="AJ26">
        <f t="shared" si="13"/>
        <v>42.7</v>
      </c>
      <c r="AK26">
        <v>0</v>
      </c>
      <c r="AL26">
        <v>0</v>
      </c>
      <c r="AN26">
        <v>300</v>
      </c>
      <c r="AO26">
        <v>300</v>
      </c>
      <c r="AP26" t="s">
        <v>62</v>
      </c>
      <c r="AR26">
        <v>12.7</v>
      </c>
      <c r="AS26">
        <v>127</v>
      </c>
      <c r="AT26">
        <f>4090*9.8/100</f>
        <v>400.82</v>
      </c>
      <c r="AU26" s="16">
        <v>205</v>
      </c>
      <c r="AV26" t="s">
        <v>40</v>
      </c>
      <c r="AW26">
        <v>80</v>
      </c>
      <c r="AX26">
        <v>2</v>
      </c>
      <c r="AY26">
        <v>6.35</v>
      </c>
      <c r="AZ26">
        <v>31.7</v>
      </c>
      <c r="BA26">
        <f t="shared" si="14"/>
        <v>367.5</v>
      </c>
      <c r="BB26" s="21">
        <f t="shared" si="10"/>
        <v>194.04</v>
      </c>
      <c r="BC26" s="16">
        <v>5</v>
      </c>
      <c r="BD26" s="16">
        <f t="shared" si="15"/>
        <v>42.7</v>
      </c>
      <c r="BE26" s="23">
        <v>0</v>
      </c>
      <c r="BF26" s="29">
        <v>0</v>
      </c>
      <c r="BG26" s="16">
        <v>5</v>
      </c>
      <c r="BH26" s="16">
        <f t="shared" si="16"/>
        <v>42.7</v>
      </c>
      <c r="BI26" s="23">
        <v>0</v>
      </c>
      <c r="BJ26" s="29">
        <v>0</v>
      </c>
      <c r="BL26" s="30">
        <v>0</v>
      </c>
      <c r="BN26" t="s">
        <v>40</v>
      </c>
      <c r="BQ26">
        <v>3</v>
      </c>
      <c r="BR26">
        <v>6</v>
      </c>
      <c r="BS26">
        <f t="shared" si="17"/>
        <v>367.5</v>
      </c>
      <c r="BT26" s="16">
        <v>205</v>
      </c>
      <c r="BU26" s="76">
        <v>0.28000000000000003</v>
      </c>
    </row>
    <row r="27" spans="1:74">
      <c r="A27">
        <v>22</v>
      </c>
      <c r="B27" s="1">
        <v>5</v>
      </c>
      <c r="G27" t="s">
        <v>405</v>
      </c>
      <c r="H27" s="2" t="s">
        <v>422</v>
      </c>
      <c r="I27">
        <f t="shared" si="19"/>
        <v>28.714000000000002</v>
      </c>
      <c r="J27">
        <f t="shared" si="19"/>
        <v>28.714000000000002</v>
      </c>
      <c r="K27">
        <f t="shared" si="19"/>
        <v>28.714000000000002</v>
      </c>
      <c r="L27">
        <v>2700</v>
      </c>
      <c r="M27">
        <v>1470</v>
      </c>
      <c r="N27">
        <v>0</v>
      </c>
      <c r="O27">
        <f>54*9.8</f>
        <v>529.20000000000005</v>
      </c>
      <c r="P27">
        <v>200</v>
      </c>
      <c r="Q27">
        <v>300</v>
      </c>
      <c r="R27" t="s">
        <v>62</v>
      </c>
      <c r="T27">
        <v>12.7</v>
      </c>
      <c r="U27">
        <v>127</v>
      </c>
      <c r="V27" s="1">
        <f>3530*9.8/100</f>
        <v>345.94</v>
      </c>
      <c r="W27" s="21">
        <v>205</v>
      </c>
      <c r="X27" t="s">
        <v>40</v>
      </c>
      <c r="Y27">
        <v>100</v>
      </c>
      <c r="Z27">
        <v>2</v>
      </c>
      <c r="AA27">
        <v>6.35</v>
      </c>
      <c r="AB27">
        <v>31.7</v>
      </c>
      <c r="AC27">
        <f t="shared" si="11"/>
        <v>367.5</v>
      </c>
      <c r="AD27" s="21">
        <v>205</v>
      </c>
      <c r="AE27" s="23">
        <v>4</v>
      </c>
      <c r="AF27" s="23">
        <f t="shared" si="12"/>
        <v>42.7</v>
      </c>
      <c r="AG27" s="23">
        <v>0</v>
      </c>
      <c r="AH27" s="23">
        <v>0</v>
      </c>
      <c r="AI27" s="23">
        <v>4</v>
      </c>
      <c r="AJ27">
        <f t="shared" si="13"/>
        <v>42.7</v>
      </c>
      <c r="AK27">
        <v>0</v>
      </c>
      <c r="AL27">
        <v>0</v>
      </c>
      <c r="AN27">
        <v>300</v>
      </c>
      <c r="AO27">
        <v>300</v>
      </c>
      <c r="AP27" t="s">
        <v>426</v>
      </c>
      <c r="AR27">
        <v>9.5299999999999994</v>
      </c>
      <c r="AS27">
        <v>127</v>
      </c>
      <c r="AT27">
        <f>3690*9.8/100</f>
        <v>361.62</v>
      </c>
      <c r="AU27" s="16">
        <v>205</v>
      </c>
      <c r="AV27" t="s">
        <v>40</v>
      </c>
      <c r="AW27">
        <v>50</v>
      </c>
      <c r="AX27">
        <v>2</v>
      </c>
      <c r="AY27">
        <v>6.35</v>
      </c>
      <c r="AZ27">
        <v>31.7</v>
      </c>
      <c r="BA27">
        <f t="shared" si="14"/>
        <v>367.5</v>
      </c>
      <c r="BB27" s="21">
        <f t="shared" si="10"/>
        <v>194.04</v>
      </c>
      <c r="BC27" s="16">
        <v>4</v>
      </c>
      <c r="BD27" s="16">
        <f t="shared" si="15"/>
        <v>41.115000000000002</v>
      </c>
      <c r="BE27" s="16">
        <v>2</v>
      </c>
      <c r="BF27" s="21">
        <f>2.5*13</f>
        <v>32.5</v>
      </c>
      <c r="BG27" s="16">
        <v>4</v>
      </c>
      <c r="BH27" s="16">
        <f t="shared" si="16"/>
        <v>41.115000000000002</v>
      </c>
      <c r="BI27" s="16">
        <v>2</v>
      </c>
      <c r="BJ27" s="21">
        <f>2.5*13</f>
        <v>32.5</v>
      </c>
      <c r="BL27" s="30">
        <v>0</v>
      </c>
      <c r="BN27" t="s">
        <v>40</v>
      </c>
      <c r="BQ27">
        <v>5</v>
      </c>
      <c r="BR27">
        <v>10</v>
      </c>
      <c r="BS27">
        <f t="shared" si="17"/>
        <v>367.5</v>
      </c>
      <c r="BT27" s="16">
        <v>205</v>
      </c>
      <c r="BU27" s="76">
        <v>0.43</v>
      </c>
      <c r="BV27" t="s">
        <v>630</v>
      </c>
    </row>
    <row r="28" spans="1:74">
      <c r="A28">
        <v>23</v>
      </c>
      <c r="B28" s="1">
        <v>1</v>
      </c>
      <c r="C28" s="1">
        <v>6</v>
      </c>
      <c r="D28" s="1" t="s">
        <v>34</v>
      </c>
      <c r="E28" s="1">
        <v>1985</v>
      </c>
      <c r="F28" s="1" t="s">
        <v>27</v>
      </c>
      <c r="G28" t="s">
        <v>439</v>
      </c>
      <c r="H28" s="1" t="s">
        <v>428</v>
      </c>
      <c r="I28">
        <f t="shared" ref="I28:K30" si="20">253*9.8/100</f>
        <v>24.794</v>
      </c>
      <c r="J28">
        <f t="shared" si="20"/>
        <v>24.794</v>
      </c>
      <c r="K28">
        <f t="shared" si="20"/>
        <v>24.794</v>
      </c>
      <c r="L28">
        <v>2700</v>
      </c>
      <c r="M28">
        <v>1470</v>
      </c>
      <c r="N28">
        <v>0</v>
      </c>
      <c r="O28">
        <f t="shared" ref="O28:O33" si="21">18*9.8</f>
        <v>176.4</v>
      </c>
      <c r="P28">
        <v>200</v>
      </c>
      <c r="Q28">
        <v>300</v>
      </c>
      <c r="R28" t="s">
        <v>426</v>
      </c>
      <c r="T28">
        <v>9.5299999999999994</v>
      </c>
      <c r="U28">
        <v>71.3</v>
      </c>
      <c r="V28" s="1">
        <f>3871*9.8/100</f>
        <v>379.358</v>
      </c>
      <c r="W28" s="21">
        <v>205</v>
      </c>
      <c r="X28" t="s">
        <v>424</v>
      </c>
      <c r="Y28">
        <v>50</v>
      </c>
      <c r="Z28">
        <v>2</v>
      </c>
      <c r="AA28">
        <v>6.35</v>
      </c>
      <c r="AB28">
        <v>31.7</v>
      </c>
      <c r="AC28">
        <f>3794*9.8/100</f>
        <v>371.81200000000007</v>
      </c>
      <c r="AD28" s="21">
        <v>205</v>
      </c>
      <c r="AE28">
        <v>5</v>
      </c>
      <c r="AF28">
        <v>30</v>
      </c>
      <c r="AG28">
        <v>5</v>
      </c>
      <c r="AH28">
        <v>30</v>
      </c>
      <c r="AI28">
        <v>5</v>
      </c>
      <c r="AJ28">
        <v>30</v>
      </c>
      <c r="AK28">
        <v>5</v>
      </c>
      <c r="AL28">
        <v>30</v>
      </c>
      <c r="AN28">
        <v>300</v>
      </c>
      <c r="AO28">
        <v>300</v>
      </c>
      <c r="AP28" t="s">
        <v>431</v>
      </c>
      <c r="AR28">
        <v>12.7</v>
      </c>
      <c r="AS28">
        <v>127</v>
      </c>
      <c r="AT28">
        <f>3577*9.8/100</f>
        <v>350.54600000000005</v>
      </c>
      <c r="AU28" s="16">
        <v>205</v>
      </c>
      <c r="AV28" t="s">
        <v>425</v>
      </c>
      <c r="AW28">
        <v>80</v>
      </c>
      <c r="AX28">
        <v>4</v>
      </c>
      <c r="AY28">
        <v>6.35</v>
      </c>
      <c r="AZ28">
        <v>31.7</v>
      </c>
      <c r="BA28">
        <f>3794*9.8/100</f>
        <v>371.81200000000007</v>
      </c>
      <c r="BB28" s="21">
        <f t="shared" si="10"/>
        <v>194.04</v>
      </c>
      <c r="BC28">
        <v>5</v>
      </c>
      <c r="BD28">
        <v>30</v>
      </c>
      <c r="BE28">
        <v>2</v>
      </c>
      <c r="BF28">
        <v>65</v>
      </c>
      <c r="BG28">
        <v>5</v>
      </c>
      <c r="BH28">
        <v>30</v>
      </c>
      <c r="BI28">
        <v>2</v>
      </c>
      <c r="BJ28">
        <v>65</v>
      </c>
      <c r="BL28" s="30">
        <v>2</v>
      </c>
      <c r="BN28" t="s">
        <v>619</v>
      </c>
      <c r="BP28" s="30">
        <v>31.7</v>
      </c>
      <c r="BQ28">
        <v>3</v>
      </c>
      <c r="BR28">
        <v>18</v>
      </c>
      <c r="BS28">
        <f>3794*9.8/100</f>
        <v>371.81200000000007</v>
      </c>
      <c r="BT28" s="16">
        <v>205</v>
      </c>
      <c r="BU28" s="76">
        <v>0.81</v>
      </c>
    </row>
    <row r="29" spans="1:74">
      <c r="A29">
        <v>24</v>
      </c>
      <c r="B29" s="1">
        <v>1</v>
      </c>
      <c r="C29" s="1"/>
      <c r="D29" s="18"/>
      <c r="E29" s="18"/>
      <c r="F29" s="1"/>
      <c r="G29" t="s">
        <v>445</v>
      </c>
      <c r="H29" s="1" t="s">
        <v>429</v>
      </c>
      <c r="I29">
        <f t="shared" si="20"/>
        <v>24.794</v>
      </c>
      <c r="J29">
        <f t="shared" si="20"/>
        <v>24.794</v>
      </c>
      <c r="K29">
        <f t="shared" si="20"/>
        <v>24.794</v>
      </c>
      <c r="L29">
        <v>2700</v>
      </c>
      <c r="M29">
        <v>1470</v>
      </c>
      <c r="N29">
        <v>0</v>
      </c>
      <c r="O29">
        <f t="shared" si="21"/>
        <v>176.4</v>
      </c>
      <c r="P29">
        <v>200</v>
      </c>
      <c r="Q29">
        <v>300</v>
      </c>
      <c r="R29" t="s">
        <v>426</v>
      </c>
      <c r="T29">
        <v>9.5299999999999994</v>
      </c>
      <c r="U29">
        <v>71.3</v>
      </c>
      <c r="V29" s="1">
        <f>3871*9.8/100</f>
        <v>379.358</v>
      </c>
      <c r="W29" s="21">
        <v>205</v>
      </c>
      <c r="X29" t="s">
        <v>40</v>
      </c>
      <c r="Y29">
        <v>50</v>
      </c>
      <c r="Z29">
        <v>2</v>
      </c>
      <c r="AA29">
        <v>6.35</v>
      </c>
      <c r="AB29">
        <v>31.7</v>
      </c>
      <c r="AC29">
        <f>3794*9.8/100</f>
        <v>371.81200000000007</v>
      </c>
      <c r="AD29" s="21">
        <v>205</v>
      </c>
      <c r="AE29">
        <v>5</v>
      </c>
      <c r="AF29">
        <v>30</v>
      </c>
      <c r="AG29">
        <v>5</v>
      </c>
      <c r="AH29">
        <v>30</v>
      </c>
      <c r="AI29">
        <v>5</v>
      </c>
      <c r="AJ29">
        <v>30</v>
      </c>
      <c r="AK29">
        <v>5</v>
      </c>
      <c r="AL29">
        <v>30</v>
      </c>
      <c r="AN29">
        <v>300</v>
      </c>
      <c r="AO29">
        <v>300</v>
      </c>
      <c r="AP29" t="s">
        <v>431</v>
      </c>
      <c r="AR29">
        <v>12.7</v>
      </c>
      <c r="AS29">
        <v>127</v>
      </c>
      <c r="AT29">
        <f>3577*9.8/100</f>
        <v>350.54600000000005</v>
      </c>
      <c r="AU29" s="16">
        <v>205</v>
      </c>
      <c r="AV29" t="s">
        <v>40</v>
      </c>
      <c r="AW29">
        <v>80</v>
      </c>
      <c r="AX29">
        <v>4</v>
      </c>
      <c r="AY29">
        <v>6.35</v>
      </c>
      <c r="AZ29">
        <v>31.7</v>
      </c>
      <c r="BA29">
        <f>3794*9.8/100</f>
        <v>371.81200000000007</v>
      </c>
      <c r="BB29" s="21">
        <f t="shared" si="10"/>
        <v>194.04</v>
      </c>
      <c r="BC29">
        <v>5</v>
      </c>
      <c r="BD29">
        <v>30</v>
      </c>
      <c r="BE29">
        <v>2</v>
      </c>
      <c r="BF29">
        <v>65</v>
      </c>
      <c r="BG29">
        <v>5</v>
      </c>
      <c r="BH29">
        <v>30</v>
      </c>
      <c r="BI29">
        <v>2</v>
      </c>
      <c r="BJ29">
        <v>65</v>
      </c>
      <c r="BL29" s="30">
        <v>2</v>
      </c>
      <c r="BN29" t="s">
        <v>618</v>
      </c>
      <c r="BP29" s="30">
        <v>31.7</v>
      </c>
      <c r="BQ29">
        <v>6</v>
      </c>
      <c r="BR29">
        <v>36</v>
      </c>
      <c r="BS29">
        <f>3794*9.8/100</f>
        <v>371.81200000000007</v>
      </c>
      <c r="BT29" s="16">
        <v>205</v>
      </c>
      <c r="BU29" s="76">
        <v>1.63</v>
      </c>
    </row>
    <row r="30" spans="1:74">
      <c r="A30">
        <v>25</v>
      </c>
      <c r="B30" s="1">
        <v>1</v>
      </c>
      <c r="C30" s="1"/>
      <c r="D30" s="1"/>
      <c r="E30" s="1"/>
      <c r="F30" s="1"/>
      <c r="G30" t="s">
        <v>445</v>
      </c>
      <c r="H30" s="1" t="s">
        <v>430</v>
      </c>
      <c r="I30">
        <f t="shared" si="20"/>
        <v>24.794</v>
      </c>
      <c r="J30">
        <f t="shared" si="20"/>
        <v>24.794</v>
      </c>
      <c r="K30">
        <f t="shared" si="20"/>
        <v>24.794</v>
      </c>
      <c r="L30">
        <v>2700</v>
      </c>
      <c r="M30">
        <v>1470</v>
      </c>
      <c r="N30">
        <v>0</v>
      </c>
      <c r="O30">
        <f t="shared" si="21"/>
        <v>176.4</v>
      </c>
      <c r="P30">
        <v>200</v>
      </c>
      <c r="Q30">
        <v>300</v>
      </c>
      <c r="R30" t="s">
        <v>153</v>
      </c>
      <c r="T30">
        <v>9.5299999999999994</v>
      </c>
      <c r="U30">
        <v>71.3</v>
      </c>
      <c r="V30" s="1">
        <f>3871*9.8/100</f>
        <v>379.358</v>
      </c>
      <c r="W30" s="21">
        <v>205</v>
      </c>
      <c r="X30" t="s">
        <v>40</v>
      </c>
      <c r="Y30">
        <v>50</v>
      </c>
      <c r="Z30">
        <v>2</v>
      </c>
      <c r="AA30">
        <v>6.35</v>
      </c>
      <c r="AB30">
        <v>31.7</v>
      </c>
      <c r="AC30">
        <f>3794*9.8/100</f>
        <v>371.81200000000007</v>
      </c>
      <c r="AD30" s="21">
        <v>205</v>
      </c>
      <c r="AE30">
        <v>5</v>
      </c>
      <c r="AF30">
        <v>30</v>
      </c>
      <c r="AG30">
        <v>5</v>
      </c>
      <c r="AH30">
        <v>30</v>
      </c>
      <c r="AI30">
        <v>5</v>
      </c>
      <c r="AJ30">
        <v>30</v>
      </c>
      <c r="AK30">
        <v>5</v>
      </c>
      <c r="AL30">
        <v>30</v>
      </c>
      <c r="AN30">
        <v>300</v>
      </c>
      <c r="AO30">
        <v>300</v>
      </c>
      <c r="AP30" t="s">
        <v>423</v>
      </c>
      <c r="AR30">
        <v>12.7</v>
      </c>
      <c r="AS30">
        <v>127</v>
      </c>
      <c r="AT30">
        <f>3577*9.8/100</f>
        <v>350.54600000000005</v>
      </c>
      <c r="AU30" s="16">
        <v>205</v>
      </c>
      <c r="AV30" t="s">
        <v>40</v>
      </c>
      <c r="AW30">
        <v>80</v>
      </c>
      <c r="AX30">
        <v>4</v>
      </c>
      <c r="AY30">
        <v>6.35</v>
      </c>
      <c r="AZ30">
        <v>31.7</v>
      </c>
      <c r="BA30">
        <f>3794*9.8/100</f>
        <v>371.81200000000007</v>
      </c>
      <c r="BB30" s="21">
        <f t="shared" si="10"/>
        <v>194.04</v>
      </c>
      <c r="BC30">
        <v>5</v>
      </c>
      <c r="BD30">
        <v>30</v>
      </c>
      <c r="BE30">
        <v>2</v>
      </c>
      <c r="BF30">
        <v>65</v>
      </c>
      <c r="BG30">
        <v>5</v>
      </c>
      <c r="BH30">
        <v>30</v>
      </c>
      <c r="BI30">
        <v>2</v>
      </c>
      <c r="BJ30">
        <v>65</v>
      </c>
      <c r="BL30" s="30">
        <v>2</v>
      </c>
      <c r="BN30" t="s">
        <v>619</v>
      </c>
      <c r="BP30" s="30">
        <v>31.7</v>
      </c>
      <c r="BQ30">
        <v>8</v>
      </c>
      <c r="BR30">
        <v>48</v>
      </c>
      <c r="BS30">
        <f>3794*9.8/100</f>
        <v>371.81200000000007</v>
      </c>
      <c r="BT30" s="16">
        <v>205</v>
      </c>
      <c r="BU30" s="76">
        <v>2.17</v>
      </c>
    </row>
    <row r="31" spans="1:74">
      <c r="A31">
        <v>26</v>
      </c>
      <c r="B31" s="1">
        <v>1</v>
      </c>
      <c r="C31" s="1">
        <v>7</v>
      </c>
      <c r="D31" s="1" t="s">
        <v>35</v>
      </c>
      <c r="E31" s="1">
        <v>1985</v>
      </c>
      <c r="F31" s="1" t="s">
        <v>27</v>
      </c>
      <c r="G31" t="s">
        <v>437</v>
      </c>
      <c r="H31" s="1" t="s">
        <v>432</v>
      </c>
      <c r="I31">
        <f t="shared" ref="I31:K33" si="22">261*9.8/100</f>
        <v>25.578000000000003</v>
      </c>
      <c r="J31">
        <f t="shared" si="22"/>
        <v>25.578000000000003</v>
      </c>
      <c r="K31">
        <f t="shared" si="22"/>
        <v>25.578000000000003</v>
      </c>
      <c r="L31">
        <v>2700</v>
      </c>
      <c r="M31">
        <v>1470</v>
      </c>
      <c r="N31">
        <v>0</v>
      </c>
      <c r="O31">
        <f t="shared" si="21"/>
        <v>176.4</v>
      </c>
      <c r="P31">
        <v>200</v>
      </c>
      <c r="Q31">
        <v>300</v>
      </c>
      <c r="R31" t="s">
        <v>426</v>
      </c>
      <c r="S31" s="30" t="s">
        <v>435</v>
      </c>
      <c r="T31">
        <v>9.5299999999999994</v>
      </c>
      <c r="U31">
        <v>71.3</v>
      </c>
      <c r="V31" s="1">
        <f>3260*9.8/100</f>
        <v>319.48</v>
      </c>
      <c r="W31" s="21">
        <v>205</v>
      </c>
      <c r="X31" t="s">
        <v>425</v>
      </c>
      <c r="Y31">
        <v>50</v>
      </c>
      <c r="Z31">
        <v>2</v>
      </c>
      <c r="AA31">
        <v>6.35</v>
      </c>
      <c r="AB31">
        <v>31.7</v>
      </c>
      <c r="AC31">
        <f>3300*9.8/100</f>
        <v>323.40000000000003</v>
      </c>
      <c r="AD31" s="21">
        <v>205</v>
      </c>
      <c r="AE31" s="16">
        <v>6</v>
      </c>
      <c r="AF31" s="16">
        <f>30+AA31+T31/2</f>
        <v>41.115000000000002</v>
      </c>
      <c r="AG31" s="16">
        <v>6</v>
      </c>
      <c r="AH31" s="16">
        <f>2.5*10</f>
        <v>25</v>
      </c>
      <c r="AI31" s="16">
        <v>6</v>
      </c>
      <c r="AJ31" s="16">
        <f>30+AA31+T31/2</f>
        <v>41.115000000000002</v>
      </c>
      <c r="AK31" s="16">
        <v>0</v>
      </c>
      <c r="AL31" s="16">
        <v>0</v>
      </c>
      <c r="AN31">
        <v>300</v>
      </c>
      <c r="AO31">
        <v>300</v>
      </c>
      <c r="AP31" t="s">
        <v>423</v>
      </c>
      <c r="AR31">
        <v>12.7</v>
      </c>
      <c r="AS31">
        <v>127</v>
      </c>
      <c r="AT31">
        <f>4300*9.8/100</f>
        <v>421.4</v>
      </c>
      <c r="AU31" s="16">
        <v>205</v>
      </c>
      <c r="AV31" t="s">
        <v>40</v>
      </c>
      <c r="AW31">
        <v>50</v>
      </c>
      <c r="AX31">
        <v>4</v>
      </c>
      <c r="AY31">
        <v>6.35</v>
      </c>
      <c r="AZ31">
        <v>31.7</v>
      </c>
      <c r="BA31">
        <f>3300*9.8/100</f>
        <v>323.40000000000003</v>
      </c>
      <c r="BB31" s="21">
        <f t="shared" si="10"/>
        <v>194.04</v>
      </c>
      <c r="BC31" s="16">
        <v>5</v>
      </c>
      <c r="BD31" s="16">
        <f>30+AY31+AR31/2</f>
        <v>42.7</v>
      </c>
      <c r="BE31" s="16">
        <v>2</v>
      </c>
      <c r="BF31" s="16">
        <f>2.5*13</f>
        <v>32.5</v>
      </c>
      <c r="BG31" s="16">
        <v>5</v>
      </c>
      <c r="BH31" s="16">
        <f>30+AY31+AR31/2</f>
        <v>42.7</v>
      </c>
      <c r="BI31" s="16">
        <v>2</v>
      </c>
      <c r="BJ31" s="16">
        <f>2.5*13</f>
        <v>32.5</v>
      </c>
      <c r="BL31" s="33">
        <v>2</v>
      </c>
      <c r="BN31" t="s">
        <v>618</v>
      </c>
      <c r="BP31" s="30">
        <v>31.7</v>
      </c>
      <c r="BQ31">
        <v>3</v>
      </c>
      <c r="BR31">
        <v>6</v>
      </c>
      <c r="BS31">
        <f>3300*9.8/100</f>
        <v>323.40000000000003</v>
      </c>
      <c r="BT31" s="16">
        <v>205</v>
      </c>
      <c r="BU31" s="76">
        <v>0.27</v>
      </c>
      <c r="BV31" t="s">
        <v>622</v>
      </c>
    </row>
    <row r="32" spans="1:74" ht="18.75" customHeight="1">
      <c r="A32">
        <v>27</v>
      </c>
      <c r="B32" s="1">
        <v>1</v>
      </c>
      <c r="C32" s="1"/>
      <c r="D32" s="19"/>
      <c r="E32" s="20"/>
      <c r="F32" s="20"/>
      <c r="G32" t="s">
        <v>438</v>
      </c>
      <c r="H32" s="1" t="s">
        <v>433</v>
      </c>
      <c r="I32">
        <f t="shared" si="22"/>
        <v>25.578000000000003</v>
      </c>
      <c r="J32">
        <f t="shared" si="22"/>
        <v>25.578000000000003</v>
      </c>
      <c r="K32">
        <f t="shared" si="22"/>
        <v>25.578000000000003</v>
      </c>
      <c r="L32">
        <v>2700</v>
      </c>
      <c r="M32">
        <v>1470</v>
      </c>
      <c r="N32">
        <v>0</v>
      </c>
      <c r="O32">
        <f t="shared" si="21"/>
        <v>176.4</v>
      </c>
      <c r="P32">
        <v>200</v>
      </c>
      <c r="Q32">
        <v>300</v>
      </c>
      <c r="R32" t="s">
        <v>426</v>
      </c>
      <c r="S32" s="30" t="s">
        <v>435</v>
      </c>
      <c r="T32">
        <v>9.5299999999999994</v>
      </c>
      <c r="U32">
        <v>71.3</v>
      </c>
      <c r="V32" s="1">
        <f>3260*9.8/100</f>
        <v>319.48</v>
      </c>
      <c r="W32" s="21">
        <v>205</v>
      </c>
      <c r="X32" t="s">
        <v>40</v>
      </c>
      <c r="Y32">
        <v>50</v>
      </c>
      <c r="Z32">
        <v>2</v>
      </c>
      <c r="AA32">
        <v>6.35</v>
      </c>
      <c r="AB32">
        <v>31.7</v>
      </c>
      <c r="AC32">
        <f>3300*9.8/100</f>
        <v>323.40000000000003</v>
      </c>
      <c r="AD32" s="21">
        <v>205</v>
      </c>
      <c r="AE32" s="16">
        <v>6</v>
      </c>
      <c r="AF32" s="16">
        <f>30+AA32+T32/2</f>
        <v>41.115000000000002</v>
      </c>
      <c r="AG32" s="16">
        <v>6</v>
      </c>
      <c r="AH32" s="16">
        <f>2.5*10</f>
        <v>25</v>
      </c>
      <c r="AI32" s="16">
        <v>6</v>
      </c>
      <c r="AJ32" s="16">
        <f>30+AA32+T32/2</f>
        <v>41.115000000000002</v>
      </c>
      <c r="AK32" s="16">
        <v>0</v>
      </c>
      <c r="AL32" s="16">
        <v>0</v>
      </c>
      <c r="AN32">
        <v>300</v>
      </c>
      <c r="AO32">
        <v>300</v>
      </c>
      <c r="AP32" t="s">
        <v>62</v>
      </c>
      <c r="AR32">
        <v>12.7</v>
      </c>
      <c r="AS32">
        <v>127</v>
      </c>
      <c r="AT32">
        <f>4300*9.8/100</f>
        <v>421.4</v>
      </c>
      <c r="AU32" s="16">
        <v>205</v>
      </c>
      <c r="AV32" t="s">
        <v>40</v>
      </c>
      <c r="AW32">
        <v>50</v>
      </c>
      <c r="AX32">
        <v>4</v>
      </c>
      <c r="AY32">
        <v>6.35</v>
      </c>
      <c r="AZ32">
        <v>31.7</v>
      </c>
      <c r="BA32">
        <f>3300*9.8/100</f>
        <v>323.40000000000003</v>
      </c>
      <c r="BB32" s="21">
        <f t="shared" si="10"/>
        <v>194.04</v>
      </c>
      <c r="BC32" s="16">
        <v>5</v>
      </c>
      <c r="BD32" s="16">
        <f>30+AY32+AR32/2</f>
        <v>42.7</v>
      </c>
      <c r="BE32" s="16">
        <v>2</v>
      </c>
      <c r="BF32" s="16">
        <f>2.5*13</f>
        <v>32.5</v>
      </c>
      <c r="BG32" s="16">
        <v>5</v>
      </c>
      <c r="BH32" s="16">
        <f>30+AY32+AR32/2</f>
        <v>42.7</v>
      </c>
      <c r="BI32" s="16">
        <v>2</v>
      </c>
      <c r="BJ32" s="16">
        <f>2.5*13</f>
        <v>32.5</v>
      </c>
      <c r="BL32" s="33">
        <v>2</v>
      </c>
      <c r="BN32" t="s">
        <v>618</v>
      </c>
      <c r="BP32" s="30">
        <v>31.7</v>
      </c>
      <c r="BQ32">
        <v>5</v>
      </c>
      <c r="BR32">
        <v>20</v>
      </c>
      <c r="BS32">
        <f>3300*9.8/100</f>
        <v>323.40000000000003</v>
      </c>
      <c r="BT32" s="16">
        <v>205</v>
      </c>
      <c r="BU32" s="76">
        <v>0.9</v>
      </c>
      <c r="BV32" t="s">
        <v>622</v>
      </c>
    </row>
    <row r="33" spans="1:74">
      <c r="A33">
        <v>28</v>
      </c>
      <c r="B33" s="1">
        <v>1</v>
      </c>
      <c r="C33" s="1"/>
      <c r="D33" s="20"/>
      <c r="E33" s="20"/>
      <c r="F33" s="20"/>
      <c r="G33" t="s">
        <v>417</v>
      </c>
      <c r="H33" s="1" t="s">
        <v>434</v>
      </c>
      <c r="I33">
        <f t="shared" si="22"/>
        <v>25.578000000000003</v>
      </c>
      <c r="J33">
        <f t="shared" si="22"/>
        <v>25.578000000000003</v>
      </c>
      <c r="K33">
        <f t="shared" si="22"/>
        <v>25.578000000000003</v>
      </c>
      <c r="L33">
        <v>2700</v>
      </c>
      <c r="M33">
        <v>1470</v>
      </c>
      <c r="N33">
        <v>0</v>
      </c>
      <c r="O33">
        <f t="shared" si="21"/>
        <v>176.4</v>
      </c>
      <c r="P33">
        <v>200</v>
      </c>
      <c r="Q33">
        <v>300</v>
      </c>
      <c r="R33" t="s">
        <v>426</v>
      </c>
      <c r="S33" s="30" t="s">
        <v>436</v>
      </c>
      <c r="T33">
        <v>9.5299999999999994</v>
      </c>
      <c r="U33">
        <v>71.3</v>
      </c>
      <c r="V33" s="1">
        <f>3260*9.8/100</f>
        <v>319.48</v>
      </c>
      <c r="W33" s="21">
        <v>205</v>
      </c>
      <c r="X33" t="s">
        <v>40</v>
      </c>
      <c r="Y33">
        <v>50</v>
      </c>
      <c r="Z33">
        <v>2</v>
      </c>
      <c r="AA33">
        <v>6.35</v>
      </c>
      <c r="AB33">
        <v>31.7</v>
      </c>
      <c r="AC33">
        <f>3300*9.8/100</f>
        <v>323.40000000000003</v>
      </c>
      <c r="AD33" s="21">
        <v>205</v>
      </c>
      <c r="AE33" s="16">
        <v>6</v>
      </c>
      <c r="AF33" s="16">
        <f>30+AA33+T33/2</f>
        <v>41.115000000000002</v>
      </c>
      <c r="AG33" s="16">
        <v>6</v>
      </c>
      <c r="AH33" s="16">
        <f>2.5*10</f>
        <v>25</v>
      </c>
      <c r="AI33" s="16">
        <v>6</v>
      </c>
      <c r="AJ33" s="16">
        <f>30+AA33+T33/2</f>
        <v>41.115000000000002</v>
      </c>
      <c r="AK33" s="16">
        <v>0</v>
      </c>
      <c r="AL33" s="16">
        <v>0</v>
      </c>
      <c r="AN33">
        <v>300</v>
      </c>
      <c r="AO33">
        <v>300</v>
      </c>
      <c r="AP33" t="s">
        <v>62</v>
      </c>
      <c r="AR33">
        <v>12.7</v>
      </c>
      <c r="AS33">
        <v>127</v>
      </c>
      <c r="AT33">
        <f>4300*9.8/100</f>
        <v>421.4</v>
      </c>
      <c r="AU33" s="16">
        <v>205</v>
      </c>
      <c r="AV33" t="s">
        <v>40</v>
      </c>
      <c r="AW33">
        <v>50</v>
      </c>
      <c r="AX33">
        <v>4</v>
      </c>
      <c r="AY33">
        <v>6.35</v>
      </c>
      <c r="AZ33">
        <v>31.7</v>
      </c>
      <c r="BA33">
        <f>3300*9.8/100</f>
        <v>323.40000000000003</v>
      </c>
      <c r="BB33" s="21">
        <f t="shared" si="10"/>
        <v>194.04</v>
      </c>
      <c r="BC33" s="16">
        <v>5</v>
      </c>
      <c r="BD33" s="16">
        <f>30+AY33+AR33/2</f>
        <v>42.7</v>
      </c>
      <c r="BE33" s="16">
        <v>2</v>
      </c>
      <c r="BF33" s="16">
        <f>2.5*13</f>
        <v>32.5</v>
      </c>
      <c r="BG33" s="16">
        <v>5</v>
      </c>
      <c r="BH33" s="16">
        <f>30+AY33+AR33/2</f>
        <v>42.7</v>
      </c>
      <c r="BI33" s="16">
        <v>2</v>
      </c>
      <c r="BJ33" s="16">
        <f>2.5*13</f>
        <v>32.5</v>
      </c>
      <c r="BL33" s="33">
        <v>2</v>
      </c>
      <c r="BN33" t="s">
        <v>621</v>
      </c>
      <c r="BP33" s="30">
        <v>71.3</v>
      </c>
      <c r="BQ33">
        <v>5</v>
      </c>
      <c r="BR33" s="2">
        <f>20</f>
        <v>20</v>
      </c>
      <c r="BS33">
        <f>3360*9.8/100</f>
        <v>329.28</v>
      </c>
      <c r="BT33" s="16">
        <v>205</v>
      </c>
      <c r="BU33" s="76">
        <v>2.0099999999999998</v>
      </c>
      <c r="BV33" t="s">
        <v>622</v>
      </c>
    </row>
    <row r="34" spans="1:74" s="24" customFormat="1" ht="37.5">
      <c r="A34" s="24">
        <v>29</v>
      </c>
      <c r="B34" s="1">
        <v>1</v>
      </c>
      <c r="C34" s="25">
        <v>8</v>
      </c>
      <c r="D34" s="25" t="s">
        <v>36</v>
      </c>
      <c r="E34" s="25">
        <v>1986</v>
      </c>
      <c r="F34" s="25" t="s">
        <v>27</v>
      </c>
      <c r="G34" s="24" t="s">
        <v>749</v>
      </c>
      <c r="H34" s="52" t="s">
        <v>744</v>
      </c>
      <c r="I34" s="24">
        <f>262/100*9.8</f>
        <v>25.676000000000002</v>
      </c>
      <c r="J34" s="24">
        <f>262/100*9.8</f>
        <v>25.676000000000002</v>
      </c>
      <c r="K34" s="24">
        <f>262/100*9.8</f>
        <v>25.676000000000002</v>
      </c>
      <c r="L34" s="24">
        <v>2800</v>
      </c>
      <c r="M34" s="24">
        <v>1400</v>
      </c>
      <c r="N34" s="24">
        <v>0</v>
      </c>
      <c r="O34" s="24">
        <f>43.4*40*40*9.8/1000</f>
        <v>680.51199999999994</v>
      </c>
      <c r="P34" s="24">
        <v>275</v>
      </c>
      <c r="Q34" s="24">
        <v>400</v>
      </c>
      <c r="R34" s="68" t="s">
        <v>745</v>
      </c>
      <c r="S34" s="30" t="s">
        <v>747</v>
      </c>
      <c r="T34" s="68">
        <f>(22.2+19.1)/2</f>
        <v>20.65</v>
      </c>
      <c r="U34" s="68">
        <f>(387+287)/2</f>
        <v>337</v>
      </c>
      <c r="V34" s="24">
        <f>(3965*9.8/100*387+3794*9.8/100*287)/(387+287)</f>
        <v>381.434175074184</v>
      </c>
      <c r="W34" s="24">
        <f>(2020*9.8/100*387+2060*9.8/100*287)/(387+287)</f>
        <v>199.62919881305641</v>
      </c>
      <c r="X34" s="24" t="s">
        <v>746</v>
      </c>
      <c r="Y34" s="24">
        <v>65</v>
      </c>
      <c r="Z34" s="24">
        <v>2</v>
      </c>
      <c r="AA34" s="24">
        <v>9.5299999999999994</v>
      </c>
      <c r="AB34" s="24">
        <v>71.3</v>
      </c>
      <c r="AC34" s="24">
        <f>3827*9.8/100</f>
        <v>375.04600000000005</v>
      </c>
      <c r="AD34" s="24">
        <f>2030*9.8/100</f>
        <v>198.94</v>
      </c>
      <c r="AE34" s="24">
        <v>4</v>
      </c>
      <c r="AF34" s="69">
        <v>40</v>
      </c>
      <c r="AG34" s="24">
        <v>0</v>
      </c>
      <c r="AH34" s="24">
        <v>0</v>
      </c>
      <c r="AI34" s="24">
        <v>4</v>
      </c>
      <c r="AJ34" s="69">
        <v>40</v>
      </c>
      <c r="AK34" s="24">
        <v>0</v>
      </c>
      <c r="AL34" s="24">
        <v>0</v>
      </c>
      <c r="AM34" s="30"/>
      <c r="AN34" s="24">
        <v>400</v>
      </c>
      <c r="AO34" s="24">
        <v>400</v>
      </c>
      <c r="AP34" s="24" t="s">
        <v>748</v>
      </c>
      <c r="AQ34" s="30" t="s">
        <v>747</v>
      </c>
      <c r="AR34" s="24">
        <v>15.9</v>
      </c>
      <c r="AS34" s="24">
        <v>199</v>
      </c>
      <c r="AT34" s="24">
        <f>3831*9.8/100</f>
        <v>375.43800000000005</v>
      </c>
      <c r="AU34" s="24">
        <f>2070*9.8/100</f>
        <v>202.86</v>
      </c>
      <c r="AV34" s="24" t="s">
        <v>746</v>
      </c>
      <c r="AW34" s="24">
        <v>72</v>
      </c>
      <c r="AX34" s="24">
        <v>4</v>
      </c>
      <c r="AY34" s="24">
        <v>9.5299999999999994</v>
      </c>
      <c r="AZ34" s="24">
        <v>71.3</v>
      </c>
      <c r="BA34" s="24">
        <f>3827*9.8/100</f>
        <v>375.04600000000005</v>
      </c>
      <c r="BB34" s="24">
        <f>2030*9.8/100</f>
        <v>198.94</v>
      </c>
      <c r="BC34" s="24">
        <v>4</v>
      </c>
      <c r="BD34" s="69">
        <v>50</v>
      </c>
      <c r="BE34" s="24">
        <v>2</v>
      </c>
      <c r="BF34" s="69">
        <v>100</v>
      </c>
      <c r="BG34" s="24">
        <v>4</v>
      </c>
      <c r="BH34" s="69">
        <v>50</v>
      </c>
      <c r="BI34" s="24">
        <v>2</v>
      </c>
      <c r="BJ34" s="69">
        <v>100</v>
      </c>
      <c r="BK34" s="30"/>
      <c r="BL34" s="30"/>
      <c r="BN34" s="24" t="s">
        <v>746</v>
      </c>
      <c r="BO34" s="30"/>
      <c r="BP34" s="30">
        <v>71.3</v>
      </c>
      <c r="BQ34" s="24">
        <v>3</v>
      </c>
      <c r="BR34" s="24">
        <v>6</v>
      </c>
      <c r="BS34" s="24">
        <f>3827*9.8/100</f>
        <v>375.04600000000005</v>
      </c>
      <c r="BT34" s="24">
        <f>2030*9.8/100</f>
        <v>198.94</v>
      </c>
      <c r="BU34" s="25">
        <v>0.39400000000000002</v>
      </c>
    </row>
    <row r="35" spans="1:74" s="24" customFormat="1">
      <c r="A35" s="24">
        <v>30</v>
      </c>
      <c r="B35" s="1">
        <v>3</v>
      </c>
      <c r="C35" s="25">
        <v>9</v>
      </c>
      <c r="D35" s="25" t="s">
        <v>37</v>
      </c>
      <c r="E35" s="25">
        <v>1986</v>
      </c>
      <c r="F35" s="25" t="s">
        <v>27</v>
      </c>
      <c r="G35" s="24" t="s">
        <v>755</v>
      </c>
      <c r="H35" s="52" t="s">
        <v>750</v>
      </c>
      <c r="K35" s="24">
        <f>373*9.8/100</f>
        <v>36.554000000000002</v>
      </c>
      <c r="L35" s="16">
        <v>2000</v>
      </c>
      <c r="M35" s="16">
        <v>1100</v>
      </c>
      <c r="N35" s="24">
        <v>0</v>
      </c>
      <c r="O35" s="24">
        <f>120*9.8/1000*30*30</f>
        <v>1058.4000000000001</v>
      </c>
      <c r="P35" s="24">
        <v>240</v>
      </c>
      <c r="Q35" s="24">
        <v>300</v>
      </c>
      <c r="R35" s="24" t="s">
        <v>756</v>
      </c>
      <c r="S35" s="30"/>
      <c r="T35" s="24">
        <v>22.2</v>
      </c>
      <c r="U35" s="24">
        <v>387</v>
      </c>
      <c r="V35" s="24">
        <f>4.192*9.8*10</f>
        <v>410.81600000000003</v>
      </c>
      <c r="W35" s="24">
        <f>1.8*9.8*10</f>
        <v>176.4</v>
      </c>
      <c r="X35" s="24" t="s">
        <v>746</v>
      </c>
      <c r="Y35" s="24">
        <v>67</v>
      </c>
      <c r="Z35" s="24">
        <v>4</v>
      </c>
      <c r="AA35" s="24">
        <v>9.5299999999999994</v>
      </c>
      <c r="AB35" s="24">
        <v>71.3</v>
      </c>
      <c r="AC35" s="24">
        <f>3.498*9.8*10</f>
        <v>342.80400000000009</v>
      </c>
      <c r="AD35" s="24">
        <f>1.6*9.8*10</f>
        <v>156.80000000000001</v>
      </c>
      <c r="AE35" s="24">
        <v>4</v>
      </c>
      <c r="AF35" s="24">
        <v>40</v>
      </c>
      <c r="AG35" s="24">
        <v>0</v>
      </c>
      <c r="AH35" s="24">
        <v>0</v>
      </c>
      <c r="AI35" s="24">
        <v>4</v>
      </c>
      <c r="AJ35" s="24">
        <v>40</v>
      </c>
      <c r="AK35" s="24">
        <v>0</v>
      </c>
      <c r="AL35" s="24">
        <v>0</v>
      </c>
      <c r="AM35" s="30"/>
      <c r="AN35" s="24">
        <v>300</v>
      </c>
      <c r="AO35" s="24">
        <v>300</v>
      </c>
      <c r="AP35" s="24" t="s">
        <v>748</v>
      </c>
      <c r="AQ35" s="30"/>
      <c r="AR35" s="24">
        <v>15.9</v>
      </c>
      <c r="AS35" s="24">
        <v>199</v>
      </c>
      <c r="AT35" s="24">
        <f t="shared" ref="AT35:AT40" si="23">4.39*9.8*10</f>
        <v>430.21999999999997</v>
      </c>
      <c r="AU35" s="24">
        <f t="shared" ref="AU35:AU40" si="24">1.78*9.8*10</f>
        <v>174.44000000000003</v>
      </c>
      <c r="AV35" s="2"/>
      <c r="AW35" s="2">
        <v>60</v>
      </c>
      <c r="AX35" s="2"/>
      <c r="AY35" s="2"/>
      <c r="AZ35" s="2"/>
      <c r="BA35" s="2"/>
      <c r="BB35" s="2"/>
      <c r="BC35" s="24">
        <v>4</v>
      </c>
      <c r="BD35" s="24">
        <v>32.5</v>
      </c>
      <c r="BE35" s="24">
        <v>2</v>
      </c>
      <c r="BF35" s="24">
        <v>65</v>
      </c>
      <c r="BG35" s="24">
        <v>4</v>
      </c>
      <c r="BH35" s="24">
        <v>32.5</v>
      </c>
      <c r="BI35" s="24">
        <v>2</v>
      </c>
      <c r="BJ35" s="24">
        <v>65</v>
      </c>
      <c r="BK35" s="30"/>
      <c r="BL35" s="30"/>
      <c r="BN35" s="24" t="s">
        <v>757</v>
      </c>
      <c r="BO35" s="30"/>
      <c r="BP35" s="30"/>
      <c r="BS35" s="24">
        <f>3.828*9.8*10</f>
        <v>375.14400000000001</v>
      </c>
      <c r="BT35" s="24">
        <f>1.705*9.8*10</f>
        <v>167.09000000000003</v>
      </c>
      <c r="BU35" s="25">
        <v>1.2</v>
      </c>
    </row>
    <row r="36" spans="1:74" s="24" customFormat="1">
      <c r="A36" s="24">
        <v>31</v>
      </c>
      <c r="B36" s="29">
        <v>3</v>
      </c>
      <c r="C36" s="25"/>
      <c r="D36" s="25"/>
      <c r="E36" s="25"/>
      <c r="F36" s="25"/>
      <c r="G36" s="24" t="s">
        <v>755</v>
      </c>
      <c r="H36" s="24" t="s">
        <v>754</v>
      </c>
      <c r="K36" s="24">
        <f>373*9.8/100</f>
        <v>36.554000000000002</v>
      </c>
      <c r="L36" s="16">
        <v>2000</v>
      </c>
      <c r="M36" s="16">
        <v>1100</v>
      </c>
      <c r="N36" s="24">
        <v>0</v>
      </c>
      <c r="O36" s="24">
        <f>120*9.8/1000*30*30</f>
        <v>1058.4000000000001</v>
      </c>
      <c r="P36" s="24">
        <v>240</v>
      </c>
      <c r="Q36" s="24">
        <v>300</v>
      </c>
      <c r="R36" s="24" t="s">
        <v>756</v>
      </c>
      <c r="S36" s="30"/>
      <c r="T36" s="24">
        <v>22.2</v>
      </c>
      <c r="U36" s="24">
        <v>387</v>
      </c>
      <c r="V36" s="24">
        <f>4.192*9.8*10</f>
        <v>410.81600000000003</v>
      </c>
      <c r="W36" s="24">
        <f>1.8*9.8*10</f>
        <v>176.4</v>
      </c>
      <c r="X36" s="24" t="s">
        <v>746</v>
      </c>
      <c r="Y36" s="24">
        <v>67</v>
      </c>
      <c r="Z36" s="24">
        <v>4</v>
      </c>
      <c r="AA36" s="24">
        <v>9.5299999999999994</v>
      </c>
      <c r="AB36" s="24">
        <v>71.3</v>
      </c>
      <c r="AC36" s="24">
        <f>3.498*9.8*10</f>
        <v>342.80400000000009</v>
      </c>
      <c r="AD36" s="24">
        <f>1.6*9.8*10</f>
        <v>156.80000000000001</v>
      </c>
      <c r="AE36" s="24">
        <v>4</v>
      </c>
      <c r="AF36" s="24">
        <v>40</v>
      </c>
      <c r="AG36" s="24">
        <v>0</v>
      </c>
      <c r="AH36" s="24">
        <v>0</v>
      </c>
      <c r="AI36" s="24">
        <v>4</v>
      </c>
      <c r="AJ36" s="24">
        <v>40</v>
      </c>
      <c r="AK36" s="24">
        <v>0</v>
      </c>
      <c r="AL36" s="24">
        <v>0</v>
      </c>
      <c r="AM36" s="30"/>
      <c r="AN36" s="24">
        <v>300</v>
      </c>
      <c r="AO36" s="24">
        <v>300</v>
      </c>
      <c r="AP36" s="24" t="s">
        <v>748</v>
      </c>
      <c r="AQ36" s="30"/>
      <c r="AR36" s="24">
        <v>15.9</v>
      </c>
      <c r="AS36" s="24">
        <v>199</v>
      </c>
      <c r="AT36" s="24">
        <f t="shared" si="23"/>
        <v>430.21999999999997</v>
      </c>
      <c r="AU36" s="24">
        <f t="shared" si="24"/>
        <v>174.44000000000003</v>
      </c>
      <c r="AV36" s="2"/>
      <c r="AW36" s="2">
        <v>60</v>
      </c>
      <c r="AX36" s="2"/>
      <c r="AY36" s="2"/>
      <c r="AZ36" s="2"/>
      <c r="BA36" s="2"/>
      <c r="BB36" s="2"/>
      <c r="BC36" s="24">
        <v>4</v>
      </c>
      <c r="BD36" s="24">
        <v>32.5</v>
      </c>
      <c r="BE36" s="24">
        <v>2</v>
      </c>
      <c r="BF36" s="24">
        <v>65</v>
      </c>
      <c r="BG36" s="24">
        <v>4</v>
      </c>
      <c r="BH36" s="24">
        <v>32.5</v>
      </c>
      <c r="BI36" s="24">
        <v>2</v>
      </c>
      <c r="BJ36" s="24">
        <v>65</v>
      </c>
      <c r="BK36" s="30"/>
      <c r="BL36" s="30"/>
      <c r="BN36" s="2"/>
      <c r="BO36" s="2"/>
      <c r="BP36" s="2"/>
      <c r="BQ36" s="2"/>
      <c r="BR36" s="2"/>
      <c r="BS36" s="2"/>
      <c r="BT36" s="2"/>
      <c r="BU36" s="77">
        <v>1.8</v>
      </c>
    </row>
    <row r="37" spans="1:74" s="24" customFormat="1">
      <c r="A37" s="24">
        <v>32</v>
      </c>
      <c r="B37" s="29">
        <v>3</v>
      </c>
      <c r="C37" s="25"/>
      <c r="D37" s="25"/>
      <c r="E37" s="25"/>
      <c r="F37" s="25"/>
      <c r="G37" s="24" t="s">
        <v>749</v>
      </c>
      <c r="H37" s="24" t="s">
        <v>204</v>
      </c>
      <c r="K37" s="24">
        <f>474*9.8/100</f>
        <v>46.452000000000005</v>
      </c>
      <c r="L37" s="16">
        <v>2000</v>
      </c>
      <c r="M37" s="16">
        <v>1100</v>
      </c>
      <c r="N37" s="24">
        <v>0</v>
      </c>
      <c r="O37" s="24">
        <f>120*9.8/1000*30*30</f>
        <v>1058.4000000000001</v>
      </c>
      <c r="P37" s="24">
        <v>240</v>
      </c>
      <c r="Q37" s="24">
        <v>300</v>
      </c>
      <c r="R37" s="24" t="s">
        <v>756</v>
      </c>
      <c r="S37" s="30"/>
      <c r="T37" s="24">
        <v>22.2</v>
      </c>
      <c r="U37" s="24">
        <v>387</v>
      </c>
      <c r="V37" s="24">
        <f>4.192*9.8*10</f>
        <v>410.81600000000003</v>
      </c>
      <c r="W37" s="24">
        <f>1.8*9.8*10</f>
        <v>176.4</v>
      </c>
      <c r="X37" s="24" t="s">
        <v>746</v>
      </c>
      <c r="Y37" s="24">
        <v>67</v>
      </c>
      <c r="Z37" s="24">
        <v>4</v>
      </c>
      <c r="AA37" s="24">
        <v>9.5299999999999994</v>
      </c>
      <c r="AB37" s="24">
        <v>71.3</v>
      </c>
      <c r="AC37" s="24">
        <f>3.498*9.8*10</f>
        <v>342.80400000000009</v>
      </c>
      <c r="AD37" s="24">
        <f>1.6*9.8*10</f>
        <v>156.80000000000001</v>
      </c>
      <c r="AE37" s="24">
        <v>4</v>
      </c>
      <c r="AF37" s="24">
        <v>40</v>
      </c>
      <c r="AG37" s="24">
        <v>0</v>
      </c>
      <c r="AH37" s="24">
        <v>0</v>
      </c>
      <c r="AI37" s="24">
        <v>4</v>
      </c>
      <c r="AJ37" s="24">
        <v>40</v>
      </c>
      <c r="AK37" s="24">
        <v>0</v>
      </c>
      <c r="AL37" s="24">
        <v>0</v>
      </c>
      <c r="AM37" s="30"/>
      <c r="AN37" s="24">
        <v>300</v>
      </c>
      <c r="AO37" s="24">
        <v>300</v>
      </c>
      <c r="AP37" s="24" t="s">
        <v>39</v>
      </c>
      <c r="AQ37" s="30"/>
      <c r="AR37" s="24">
        <v>15.9</v>
      </c>
      <c r="AS37" s="24">
        <v>199</v>
      </c>
      <c r="AT37" s="24">
        <f t="shared" si="23"/>
        <v>430.21999999999997</v>
      </c>
      <c r="AU37" s="24">
        <f t="shared" si="24"/>
        <v>174.44000000000003</v>
      </c>
      <c r="AV37" s="2"/>
      <c r="AW37" s="2">
        <v>60</v>
      </c>
      <c r="AX37" s="2"/>
      <c r="AY37" s="2"/>
      <c r="AZ37" s="2"/>
      <c r="BA37" s="2"/>
      <c r="BB37" s="2"/>
      <c r="BC37" s="24">
        <v>4</v>
      </c>
      <c r="BD37" s="24">
        <v>32.5</v>
      </c>
      <c r="BE37" s="24">
        <v>2</v>
      </c>
      <c r="BF37" s="24">
        <v>65</v>
      </c>
      <c r="BG37" s="24">
        <v>4</v>
      </c>
      <c r="BH37" s="24">
        <v>32.5</v>
      </c>
      <c r="BI37" s="24">
        <v>2</v>
      </c>
      <c r="BJ37" s="24">
        <v>65</v>
      </c>
      <c r="BK37" s="30"/>
      <c r="BL37" s="30"/>
      <c r="BN37" s="2"/>
      <c r="BO37" s="2"/>
      <c r="BP37" s="2"/>
      <c r="BQ37" s="2"/>
      <c r="BR37" s="2"/>
      <c r="BS37" s="2"/>
      <c r="BT37" s="2"/>
      <c r="BU37" s="77">
        <v>1.2</v>
      </c>
    </row>
    <row r="38" spans="1:74" s="24" customFormat="1">
      <c r="A38" s="24">
        <v>33</v>
      </c>
      <c r="B38" s="29">
        <v>3</v>
      </c>
      <c r="C38" s="25"/>
      <c r="D38" s="25"/>
      <c r="E38" s="25"/>
      <c r="F38" s="25"/>
      <c r="G38" s="24" t="s">
        <v>749</v>
      </c>
      <c r="H38" s="52" t="s">
        <v>751</v>
      </c>
      <c r="K38" s="24">
        <f>474*9.8/100</f>
        <v>46.452000000000005</v>
      </c>
      <c r="L38" s="16">
        <v>2000</v>
      </c>
      <c r="M38" s="16">
        <v>1100</v>
      </c>
      <c r="N38" s="24">
        <v>0</v>
      </c>
      <c r="O38" s="24">
        <f>120*9.8/1000*30*30</f>
        <v>1058.4000000000001</v>
      </c>
      <c r="P38" s="24">
        <v>240</v>
      </c>
      <c r="Q38" s="24">
        <v>300</v>
      </c>
      <c r="R38" s="24" t="s">
        <v>756</v>
      </c>
      <c r="S38" s="30"/>
      <c r="T38" s="24">
        <v>22.2</v>
      </c>
      <c r="U38" s="24">
        <v>387</v>
      </c>
      <c r="V38" s="24">
        <f>4.192*9.8*10</f>
        <v>410.81600000000003</v>
      </c>
      <c r="W38" s="24">
        <f>1.8*9.8*10</f>
        <v>176.4</v>
      </c>
      <c r="X38" s="24" t="s">
        <v>746</v>
      </c>
      <c r="Y38" s="24">
        <v>67</v>
      </c>
      <c r="Z38" s="24">
        <v>4</v>
      </c>
      <c r="AA38" s="24">
        <v>9.5299999999999994</v>
      </c>
      <c r="AB38" s="24">
        <v>71.3</v>
      </c>
      <c r="AC38" s="24">
        <f>3.498*9.8*10</f>
        <v>342.80400000000009</v>
      </c>
      <c r="AD38" s="24">
        <f>1.6*9.8*10</f>
        <v>156.80000000000001</v>
      </c>
      <c r="AE38" s="24">
        <v>4</v>
      </c>
      <c r="AF38" s="24">
        <v>40</v>
      </c>
      <c r="AG38" s="24">
        <v>0</v>
      </c>
      <c r="AH38" s="24">
        <v>0</v>
      </c>
      <c r="AI38" s="24">
        <v>4</v>
      </c>
      <c r="AJ38" s="24">
        <v>40</v>
      </c>
      <c r="AK38" s="24">
        <v>0</v>
      </c>
      <c r="AL38" s="24">
        <v>0</v>
      </c>
      <c r="AM38" s="30"/>
      <c r="AN38" s="24">
        <v>300</v>
      </c>
      <c r="AO38" s="24">
        <v>300</v>
      </c>
      <c r="AP38" s="24" t="s">
        <v>39</v>
      </c>
      <c r="AQ38" s="30"/>
      <c r="AR38" s="24">
        <v>15.9</v>
      </c>
      <c r="AS38" s="24">
        <v>199</v>
      </c>
      <c r="AT38" s="24">
        <f t="shared" si="23"/>
        <v>430.21999999999997</v>
      </c>
      <c r="AU38" s="24">
        <f t="shared" si="24"/>
        <v>174.44000000000003</v>
      </c>
      <c r="AV38" s="2"/>
      <c r="AW38" s="2">
        <v>60</v>
      </c>
      <c r="AX38" s="2"/>
      <c r="AY38" s="2"/>
      <c r="AZ38" s="2"/>
      <c r="BA38" s="2"/>
      <c r="BB38" s="2"/>
      <c r="BC38" s="24">
        <v>4</v>
      </c>
      <c r="BD38" s="24">
        <v>32.5</v>
      </c>
      <c r="BE38" s="24">
        <v>2</v>
      </c>
      <c r="BF38" s="24">
        <v>65</v>
      </c>
      <c r="BG38" s="24">
        <v>4</v>
      </c>
      <c r="BH38" s="24">
        <v>32.5</v>
      </c>
      <c r="BI38" s="24">
        <v>2</v>
      </c>
      <c r="BJ38" s="24">
        <v>65</v>
      </c>
      <c r="BK38" s="30"/>
      <c r="BL38" s="30"/>
      <c r="BN38" s="2"/>
      <c r="BO38" s="2"/>
      <c r="BP38" s="2"/>
      <c r="BQ38" s="2"/>
      <c r="BR38" s="2"/>
      <c r="BS38" s="2"/>
      <c r="BT38" s="2"/>
      <c r="BU38" s="77">
        <v>1.8</v>
      </c>
    </row>
    <row r="39" spans="1:74" s="24" customFormat="1">
      <c r="A39" s="24">
        <v>34</v>
      </c>
      <c r="B39" s="1">
        <v>3</v>
      </c>
      <c r="C39" s="25"/>
      <c r="D39" s="25"/>
      <c r="E39" s="25"/>
      <c r="F39" s="25"/>
      <c r="G39" s="24" t="s">
        <v>755</v>
      </c>
      <c r="H39" s="52" t="s">
        <v>752</v>
      </c>
      <c r="K39" s="24">
        <f>329*9.8/100</f>
        <v>32.242000000000004</v>
      </c>
      <c r="L39" s="16">
        <v>2000</v>
      </c>
      <c r="M39" s="16">
        <v>1100</v>
      </c>
      <c r="N39" s="24">
        <v>0</v>
      </c>
      <c r="O39" s="24">
        <f>110*9.8/1000*30*30</f>
        <v>970.2</v>
      </c>
      <c r="P39" s="24">
        <v>240</v>
      </c>
      <c r="Q39" s="24">
        <v>300</v>
      </c>
      <c r="R39" s="24" t="s">
        <v>756</v>
      </c>
      <c r="S39" s="30"/>
      <c r="T39" s="24">
        <v>22.2</v>
      </c>
      <c r="U39" s="24">
        <v>387</v>
      </c>
      <c r="V39" s="24">
        <f>4.039*9.8*10</f>
        <v>395.822</v>
      </c>
      <c r="W39" s="24">
        <f>1.804*9.8*10</f>
        <v>176.79200000000003</v>
      </c>
      <c r="X39" s="24" t="s">
        <v>153</v>
      </c>
      <c r="Y39" s="24">
        <v>67</v>
      </c>
      <c r="Z39" s="24">
        <v>4</v>
      </c>
      <c r="AA39" s="24">
        <v>9.5299999999999994</v>
      </c>
      <c r="AB39" s="24">
        <v>71.3</v>
      </c>
      <c r="AC39" s="24">
        <f>3.94*9.8*10</f>
        <v>386.12</v>
      </c>
      <c r="AD39" s="24">
        <f>1.613*9.8*10</f>
        <v>158.07400000000001</v>
      </c>
      <c r="AE39" s="24">
        <v>4</v>
      </c>
      <c r="AF39" s="24">
        <v>40</v>
      </c>
      <c r="AG39" s="24">
        <v>0</v>
      </c>
      <c r="AH39" s="24">
        <v>0</v>
      </c>
      <c r="AI39" s="24">
        <v>4</v>
      </c>
      <c r="AJ39" s="24">
        <v>40</v>
      </c>
      <c r="AK39" s="24">
        <v>0</v>
      </c>
      <c r="AL39" s="24">
        <v>0</v>
      </c>
      <c r="AM39" s="30"/>
      <c r="AN39" s="24">
        <v>300</v>
      </c>
      <c r="AO39" s="24">
        <v>300</v>
      </c>
      <c r="AP39" s="24" t="s">
        <v>39</v>
      </c>
      <c r="AQ39" s="30"/>
      <c r="AR39" s="24">
        <v>15.9</v>
      </c>
      <c r="AS39" s="24">
        <v>199</v>
      </c>
      <c r="AT39" s="24">
        <f t="shared" si="23"/>
        <v>430.21999999999997</v>
      </c>
      <c r="AU39" s="24">
        <f t="shared" si="24"/>
        <v>174.44000000000003</v>
      </c>
      <c r="AV39" s="2"/>
      <c r="AW39" s="2">
        <v>60</v>
      </c>
      <c r="AX39" s="2"/>
      <c r="AY39" s="2"/>
      <c r="AZ39" s="2"/>
      <c r="BA39" s="2"/>
      <c r="BB39" s="2"/>
      <c r="BC39" s="24">
        <v>4</v>
      </c>
      <c r="BD39" s="24">
        <v>32.5</v>
      </c>
      <c r="BE39" s="24">
        <v>2</v>
      </c>
      <c r="BF39" s="24">
        <v>65</v>
      </c>
      <c r="BG39" s="24">
        <v>4</v>
      </c>
      <c r="BH39" s="24">
        <v>32.5</v>
      </c>
      <c r="BI39" s="24">
        <v>2</v>
      </c>
      <c r="BJ39" s="24">
        <v>65</v>
      </c>
      <c r="BK39" s="30"/>
      <c r="BL39" s="30"/>
      <c r="BN39" s="24" t="s">
        <v>746</v>
      </c>
      <c r="BO39" s="30"/>
      <c r="BP39" s="30"/>
      <c r="BS39" s="24">
        <f>3.94*9.8*10</f>
        <v>386.12</v>
      </c>
      <c r="BT39" s="24">
        <f>1.613*9.88*10</f>
        <v>159.36440000000002</v>
      </c>
      <c r="BU39" s="25">
        <v>0.6</v>
      </c>
    </row>
    <row r="40" spans="1:74" s="27" customFormat="1">
      <c r="A40" s="24">
        <v>35</v>
      </c>
      <c r="B40" s="1">
        <v>3</v>
      </c>
      <c r="C40" s="26"/>
      <c r="D40" s="26"/>
      <c r="E40" s="26"/>
      <c r="F40" s="26"/>
      <c r="G40" s="27" t="s">
        <v>755</v>
      </c>
      <c r="H40" s="54" t="s">
        <v>753</v>
      </c>
      <c r="I40" s="24"/>
      <c r="J40" s="24"/>
      <c r="K40" s="24">
        <f>329*9.8/100</f>
        <v>32.242000000000004</v>
      </c>
      <c r="L40" s="16">
        <v>2000</v>
      </c>
      <c r="M40" s="16">
        <v>1100</v>
      </c>
      <c r="N40" s="27">
        <v>0</v>
      </c>
      <c r="O40" s="24">
        <f>110*9.8/1000*30*30</f>
        <v>970.2</v>
      </c>
      <c r="P40" s="24">
        <v>240</v>
      </c>
      <c r="Q40" s="24">
        <v>300</v>
      </c>
      <c r="R40" s="27" t="s">
        <v>756</v>
      </c>
      <c r="S40" s="9"/>
      <c r="T40" s="24">
        <v>22.2</v>
      </c>
      <c r="U40" s="24">
        <v>387</v>
      </c>
      <c r="V40" s="24">
        <f>4.039*9.8*10</f>
        <v>395.822</v>
      </c>
      <c r="W40" s="24">
        <f>1.804*9.8*10</f>
        <v>176.79200000000003</v>
      </c>
      <c r="X40" s="24" t="s">
        <v>153</v>
      </c>
      <c r="Y40" s="24">
        <v>67</v>
      </c>
      <c r="Z40" s="24">
        <v>4</v>
      </c>
      <c r="AA40" s="24">
        <v>9.5299999999999994</v>
      </c>
      <c r="AB40" s="24">
        <v>71.3</v>
      </c>
      <c r="AC40" s="24">
        <f>3.94*9.8*10</f>
        <v>386.12</v>
      </c>
      <c r="AD40" s="24">
        <f>1.613*9.8*10</f>
        <v>158.07400000000001</v>
      </c>
      <c r="AE40" s="27">
        <v>4</v>
      </c>
      <c r="AF40" s="24">
        <v>40</v>
      </c>
      <c r="AG40" s="24">
        <v>0</v>
      </c>
      <c r="AH40" s="24">
        <v>0</v>
      </c>
      <c r="AI40" s="24">
        <v>4</v>
      </c>
      <c r="AJ40" s="24">
        <v>40</v>
      </c>
      <c r="AK40" s="24">
        <v>0</v>
      </c>
      <c r="AL40" s="24">
        <v>0</v>
      </c>
      <c r="AM40" s="9"/>
      <c r="AN40" s="24">
        <v>300</v>
      </c>
      <c r="AO40" s="24">
        <v>300</v>
      </c>
      <c r="AP40" s="24" t="s">
        <v>39</v>
      </c>
      <c r="AQ40" s="9"/>
      <c r="AR40" s="24">
        <v>15.9</v>
      </c>
      <c r="AS40" s="24">
        <v>199</v>
      </c>
      <c r="AT40" s="24">
        <f t="shared" si="23"/>
        <v>430.21999999999997</v>
      </c>
      <c r="AU40" s="24">
        <f t="shared" si="24"/>
        <v>174.44000000000003</v>
      </c>
      <c r="AV40" s="71"/>
      <c r="AW40" s="2">
        <v>60</v>
      </c>
      <c r="AX40" s="71"/>
      <c r="AY40" s="71"/>
      <c r="AZ40" s="71"/>
      <c r="BA40" s="71"/>
      <c r="BB40" s="71"/>
      <c r="BC40" s="24">
        <v>4</v>
      </c>
      <c r="BD40" s="24">
        <v>32.5</v>
      </c>
      <c r="BE40" s="24">
        <v>2</v>
      </c>
      <c r="BF40" s="24">
        <v>65</v>
      </c>
      <c r="BG40" s="24">
        <v>4</v>
      </c>
      <c r="BH40" s="24">
        <v>32.5</v>
      </c>
      <c r="BI40" s="24">
        <v>2</v>
      </c>
      <c r="BJ40" s="24">
        <v>65</v>
      </c>
      <c r="BK40" s="9"/>
      <c r="BL40" s="9"/>
      <c r="BN40" s="27" t="s">
        <v>746</v>
      </c>
      <c r="BO40" s="9"/>
      <c r="BP40" s="9"/>
      <c r="BS40" s="24">
        <f>3.94*9.8*10</f>
        <v>386.12</v>
      </c>
      <c r="BT40" s="24">
        <f>1.613*9.8*10</f>
        <v>158.07400000000001</v>
      </c>
      <c r="BU40" s="25">
        <v>1.2</v>
      </c>
    </row>
    <row r="41" spans="1:74">
      <c r="A41">
        <v>36</v>
      </c>
      <c r="B41" s="1">
        <v>2</v>
      </c>
      <c r="C41">
        <v>10</v>
      </c>
      <c r="D41" t="s">
        <v>37</v>
      </c>
      <c r="E41">
        <v>1987</v>
      </c>
      <c r="F41" t="s">
        <v>27</v>
      </c>
      <c r="G41" t="s">
        <v>158</v>
      </c>
      <c r="H41" s="52" t="s">
        <v>159</v>
      </c>
      <c r="I41">
        <f>314*9.8/100</f>
        <v>30.772000000000002</v>
      </c>
      <c r="J41">
        <f>369*9.8/100</f>
        <v>36.162000000000006</v>
      </c>
      <c r="K41">
        <f>314*9.8/100</f>
        <v>30.772000000000002</v>
      </c>
      <c r="L41">
        <v>2000</v>
      </c>
      <c r="M41">
        <v>1100</v>
      </c>
      <c r="N41">
        <v>0</v>
      </c>
      <c r="O41">
        <f>55*9.8/100*380*380/1000</f>
        <v>778.31599999999992</v>
      </c>
      <c r="P41">
        <v>260</v>
      </c>
      <c r="Q41">
        <v>320</v>
      </c>
      <c r="R41" t="s">
        <v>39</v>
      </c>
      <c r="T41">
        <v>15.9</v>
      </c>
      <c r="U41">
        <v>199</v>
      </c>
      <c r="V41" s="1">
        <f>4320*9.8/100</f>
        <v>423.36</v>
      </c>
      <c r="W41" s="1">
        <f>17.8*9.8</f>
        <v>174.44000000000003</v>
      </c>
      <c r="X41" t="s">
        <v>40</v>
      </c>
      <c r="Y41">
        <v>60</v>
      </c>
      <c r="Z41">
        <v>4</v>
      </c>
      <c r="AA41">
        <v>6.35</v>
      </c>
      <c r="AB41">
        <v>31.7</v>
      </c>
      <c r="AC41">
        <f>3719*9.8/100</f>
        <v>364.46200000000005</v>
      </c>
      <c r="AD41">
        <f>17.05*9.8</f>
        <v>167.09000000000003</v>
      </c>
      <c r="AE41">
        <v>4</v>
      </c>
      <c r="AF41">
        <v>35</v>
      </c>
      <c r="AG41">
        <v>2</v>
      </c>
      <c r="AH41">
        <v>35</v>
      </c>
      <c r="AI41">
        <v>4</v>
      </c>
      <c r="AJ41">
        <v>35</v>
      </c>
      <c r="AK41">
        <v>2</v>
      </c>
      <c r="AL41">
        <v>35</v>
      </c>
      <c r="AN41">
        <v>380</v>
      </c>
      <c r="AO41">
        <v>380</v>
      </c>
      <c r="AP41" t="s">
        <v>62</v>
      </c>
      <c r="AR41">
        <v>12.7</v>
      </c>
      <c r="AS41">
        <v>127</v>
      </c>
      <c r="AT41">
        <f>4340*9.8/100</f>
        <v>425.32</v>
      </c>
      <c r="AU41">
        <f>19.3*9.8</f>
        <v>189.14000000000001</v>
      </c>
      <c r="AV41" t="s">
        <v>40</v>
      </c>
      <c r="AW41">
        <v>40</v>
      </c>
      <c r="AX41">
        <v>3</v>
      </c>
      <c r="AY41">
        <v>6.35</v>
      </c>
      <c r="AZ41">
        <v>31.7</v>
      </c>
      <c r="BA41">
        <f>3719*9.8/100</f>
        <v>364.46200000000005</v>
      </c>
      <c r="BB41">
        <f>17.05*9.8</f>
        <v>167.09000000000003</v>
      </c>
      <c r="BC41">
        <v>4</v>
      </c>
      <c r="BD41">
        <v>35</v>
      </c>
      <c r="BE41">
        <v>2</v>
      </c>
      <c r="BF41">
        <v>90</v>
      </c>
      <c r="BG41">
        <v>4</v>
      </c>
      <c r="BH41">
        <v>35</v>
      </c>
      <c r="BI41">
        <v>2</v>
      </c>
      <c r="BJ41">
        <v>90</v>
      </c>
      <c r="BL41" s="30">
        <v>0</v>
      </c>
      <c r="BM41" s="5" t="s">
        <v>378</v>
      </c>
      <c r="BN41" t="s">
        <v>681</v>
      </c>
      <c r="BQ41">
        <v>8</v>
      </c>
      <c r="BR41">
        <v>24</v>
      </c>
      <c r="BS41">
        <f>3719*9.8/100</f>
        <v>364.46200000000005</v>
      </c>
      <c r="BT41">
        <f>17.05*9.8</f>
        <v>167.09000000000003</v>
      </c>
      <c r="BU41" s="23">
        <v>0.96</v>
      </c>
    </row>
    <row r="42" spans="1:74">
      <c r="A42">
        <v>37</v>
      </c>
      <c r="B42" s="1">
        <v>1</v>
      </c>
      <c r="G42" t="s">
        <v>158</v>
      </c>
      <c r="H42" s="1" t="s">
        <v>714</v>
      </c>
      <c r="I42">
        <f>314*9.8/100</f>
        <v>30.772000000000002</v>
      </c>
      <c r="J42">
        <f>369*9.8/100</f>
        <v>36.162000000000006</v>
      </c>
      <c r="K42">
        <f>314*9.8/100</f>
        <v>30.772000000000002</v>
      </c>
      <c r="L42">
        <v>2000</v>
      </c>
      <c r="M42">
        <v>1100</v>
      </c>
      <c r="N42">
        <v>0</v>
      </c>
      <c r="O42">
        <f>55*9.8/100*380*380/1000</f>
        <v>778.31599999999992</v>
      </c>
      <c r="P42">
        <v>260</v>
      </c>
      <c r="Q42">
        <v>320</v>
      </c>
      <c r="R42" t="s">
        <v>57</v>
      </c>
      <c r="T42">
        <v>19.100000000000001</v>
      </c>
      <c r="U42">
        <v>287</v>
      </c>
      <c r="V42" s="1">
        <f>4360*9.8/100</f>
        <v>427.28</v>
      </c>
      <c r="W42" s="1">
        <f>19*9.8</f>
        <v>186.20000000000002</v>
      </c>
      <c r="X42" t="s">
        <v>40</v>
      </c>
      <c r="Y42">
        <v>40</v>
      </c>
      <c r="Z42">
        <v>4</v>
      </c>
      <c r="AA42">
        <v>6.35</v>
      </c>
      <c r="AB42">
        <v>31.7</v>
      </c>
      <c r="AC42">
        <f>3719*9.8/100</f>
        <v>364.46200000000005</v>
      </c>
      <c r="AD42">
        <f>17.05*9.8</f>
        <v>167.09000000000003</v>
      </c>
      <c r="AE42">
        <v>4</v>
      </c>
      <c r="AF42">
        <v>36.5</v>
      </c>
      <c r="AG42">
        <v>0</v>
      </c>
      <c r="AH42">
        <v>0</v>
      </c>
      <c r="AI42">
        <v>4</v>
      </c>
      <c r="AJ42">
        <v>36.5</v>
      </c>
      <c r="AK42">
        <v>0</v>
      </c>
      <c r="AL42">
        <v>0</v>
      </c>
      <c r="AN42">
        <v>380</v>
      </c>
      <c r="AO42">
        <v>380</v>
      </c>
      <c r="AP42" t="s">
        <v>62</v>
      </c>
      <c r="AR42">
        <v>12.7</v>
      </c>
      <c r="AS42">
        <v>127</v>
      </c>
      <c r="AT42">
        <f>4340*9.8/100</f>
        <v>425.32</v>
      </c>
      <c r="AU42">
        <f>19.3*9.8</f>
        <v>189.14000000000001</v>
      </c>
      <c r="AV42" t="s">
        <v>40</v>
      </c>
      <c r="AW42">
        <v>40</v>
      </c>
      <c r="AX42">
        <v>3</v>
      </c>
      <c r="AY42">
        <v>6.35</v>
      </c>
      <c r="AZ42">
        <v>31.7</v>
      </c>
      <c r="BA42">
        <f>3719*9.8/100</f>
        <v>364.46200000000005</v>
      </c>
      <c r="BB42">
        <f>17.05*9.8</f>
        <v>167.09000000000003</v>
      </c>
      <c r="BC42">
        <v>4</v>
      </c>
      <c r="BD42">
        <v>35</v>
      </c>
      <c r="BE42">
        <v>2</v>
      </c>
      <c r="BF42">
        <v>90</v>
      </c>
      <c r="BG42">
        <v>4</v>
      </c>
      <c r="BH42">
        <v>35</v>
      </c>
      <c r="BI42">
        <v>2</v>
      </c>
      <c r="BJ42">
        <v>90</v>
      </c>
      <c r="BL42" s="30">
        <v>0</v>
      </c>
      <c r="BM42" t="s">
        <v>378</v>
      </c>
      <c r="BN42" t="s">
        <v>681</v>
      </c>
      <c r="BP42" s="30">
        <v>31.7</v>
      </c>
      <c r="BQ42">
        <v>8</v>
      </c>
      <c r="BR42">
        <v>24</v>
      </c>
      <c r="BS42">
        <f>3719*9.8/100</f>
        <v>364.46200000000005</v>
      </c>
      <c r="BT42">
        <f>17.05*9.8</f>
        <v>167.09000000000003</v>
      </c>
      <c r="BU42" s="23">
        <v>0.96</v>
      </c>
    </row>
    <row r="43" spans="1:74">
      <c r="A43">
        <v>38</v>
      </c>
      <c r="B43" s="1">
        <v>2</v>
      </c>
      <c r="G43" t="s">
        <v>160</v>
      </c>
      <c r="H43" s="52" t="s">
        <v>161</v>
      </c>
      <c r="I43">
        <f>314*9.8/100</f>
        <v>30.772000000000002</v>
      </c>
      <c r="J43">
        <f>369*9.8/100</f>
        <v>36.162000000000006</v>
      </c>
      <c r="K43">
        <f>314*9.8/100</f>
        <v>30.772000000000002</v>
      </c>
      <c r="L43">
        <v>2000</v>
      </c>
      <c r="M43">
        <v>1100</v>
      </c>
      <c r="N43">
        <v>0</v>
      </c>
      <c r="O43">
        <f>55*9.8/100*380*380/1000</f>
        <v>778.31599999999992</v>
      </c>
      <c r="P43">
        <v>260</v>
      </c>
      <c r="Q43">
        <v>320</v>
      </c>
      <c r="R43" t="s">
        <v>162</v>
      </c>
      <c r="T43">
        <v>22.2</v>
      </c>
      <c r="U43">
        <v>387</v>
      </c>
      <c r="V43" s="1">
        <f>4177*9.8/100</f>
        <v>409.34600000000006</v>
      </c>
      <c r="W43" s="1">
        <f>18.9*9.8</f>
        <v>185.22</v>
      </c>
      <c r="X43" t="s">
        <v>153</v>
      </c>
      <c r="Y43">
        <v>65</v>
      </c>
      <c r="Z43">
        <v>4</v>
      </c>
      <c r="AA43">
        <v>9.5299999999999994</v>
      </c>
      <c r="AB43">
        <v>71.3</v>
      </c>
      <c r="AC43">
        <f>3719*9.8/100</f>
        <v>364.46200000000005</v>
      </c>
      <c r="AD43">
        <f>17.05*9.8</f>
        <v>167.09000000000003</v>
      </c>
      <c r="AE43">
        <v>4</v>
      </c>
      <c r="AF43">
        <v>36.5</v>
      </c>
      <c r="AG43">
        <v>0</v>
      </c>
      <c r="AH43">
        <v>0</v>
      </c>
      <c r="AI43">
        <v>4</v>
      </c>
      <c r="AJ43">
        <v>36.5</v>
      </c>
      <c r="AK43">
        <v>0</v>
      </c>
      <c r="AL43">
        <v>0</v>
      </c>
      <c r="AN43">
        <v>380</v>
      </c>
      <c r="AO43">
        <v>380</v>
      </c>
      <c r="AP43" t="s">
        <v>62</v>
      </c>
      <c r="AR43">
        <v>12.7</v>
      </c>
      <c r="AS43">
        <v>127</v>
      </c>
      <c r="AT43">
        <f>4340*9.8/100</f>
        <v>425.32</v>
      </c>
      <c r="AU43">
        <f>19.3*9.8</f>
        <v>189.14000000000001</v>
      </c>
      <c r="AV43" t="s">
        <v>40</v>
      </c>
      <c r="AW43">
        <v>40</v>
      </c>
      <c r="AX43">
        <v>3</v>
      </c>
      <c r="AY43">
        <v>6.35</v>
      </c>
      <c r="AZ43">
        <v>31.7</v>
      </c>
      <c r="BA43">
        <f>3719*9.8/100</f>
        <v>364.46200000000005</v>
      </c>
      <c r="BB43">
        <f>17.05*9.8</f>
        <v>167.09000000000003</v>
      </c>
      <c r="BC43">
        <v>4</v>
      </c>
      <c r="BD43">
        <v>35</v>
      </c>
      <c r="BE43">
        <v>2</v>
      </c>
      <c r="BF43">
        <v>90</v>
      </c>
      <c r="BG43">
        <v>4</v>
      </c>
      <c r="BH43">
        <v>35</v>
      </c>
      <c r="BI43">
        <v>2</v>
      </c>
      <c r="BJ43">
        <v>90</v>
      </c>
      <c r="BL43" s="30">
        <v>0</v>
      </c>
      <c r="BM43" t="s">
        <v>378</v>
      </c>
      <c r="BN43" t="s">
        <v>682</v>
      </c>
      <c r="BQ43">
        <v>8</v>
      </c>
      <c r="BR43">
        <v>24</v>
      </c>
      <c r="BS43">
        <f>3719*9.8/100</f>
        <v>364.46200000000005</v>
      </c>
      <c r="BT43">
        <f>17.05*9.8</f>
        <v>167.09000000000003</v>
      </c>
      <c r="BU43" s="23">
        <v>0.96</v>
      </c>
    </row>
    <row r="44" spans="1:74">
      <c r="A44">
        <v>39</v>
      </c>
      <c r="B44" s="1">
        <v>1</v>
      </c>
      <c r="G44" t="s">
        <v>160</v>
      </c>
      <c r="H44" s="1" t="s">
        <v>163</v>
      </c>
      <c r="I44">
        <f>314*9.8/100</f>
        <v>30.772000000000002</v>
      </c>
      <c r="J44">
        <f>369*9.8/100</f>
        <v>36.162000000000006</v>
      </c>
      <c r="K44">
        <f>314*9.8/100</f>
        <v>30.772000000000002</v>
      </c>
      <c r="L44">
        <v>2000</v>
      </c>
      <c r="M44">
        <v>1100</v>
      </c>
      <c r="N44">
        <v>0</v>
      </c>
      <c r="O44">
        <f>55*9.8/100*380*380/1000</f>
        <v>778.31599999999992</v>
      </c>
      <c r="P44">
        <v>260</v>
      </c>
      <c r="Q44">
        <v>320</v>
      </c>
      <c r="R44" t="s">
        <v>162</v>
      </c>
      <c r="T44">
        <v>22.2</v>
      </c>
      <c r="U44">
        <v>387</v>
      </c>
      <c r="V44" s="1">
        <f>4177*9.8/100</f>
        <v>409.34600000000006</v>
      </c>
      <c r="W44" s="1">
        <f>18.9*9.8</f>
        <v>185.22</v>
      </c>
      <c r="X44" t="s">
        <v>153</v>
      </c>
      <c r="Y44">
        <v>55</v>
      </c>
      <c r="Z44">
        <v>4</v>
      </c>
      <c r="AA44">
        <v>9.5299999999999994</v>
      </c>
      <c r="AB44">
        <v>71.3</v>
      </c>
      <c r="AC44">
        <f>3719*9.8/100</f>
        <v>364.46200000000005</v>
      </c>
      <c r="AD44">
        <f>17.05*9.8</f>
        <v>167.09000000000003</v>
      </c>
      <c r="AE44">
        <v>4</v>
      </c>
      <c r="AF44">
        <v>36.5</v>
      </c>
      <c r="AG44">
        <v>0</v>
      </c>
      <c r="AH44">
        <v>0</v>
      </c>
      <c r="AI44">
        <v>4</v>
      </c>
      <c r="AJ44">
        <v>36.5</v>
      </c>
      <c r="AK44">
        <v>0</v>
      </c>
      <c r="AL44">
        <v>0</v>
      </c>
      <c r="AN44">
        <v>380</v>
      </c>
      <c r="AO44">
        <v>380</v>
      </c>
      <c r="AP44" t="s">
        <v>62</v>
      </c>
      <c r="AR44">
        <v>12.7</v>
      </c>
      <c r="AS44">
        <v>127</v>
      </c>
      <c r="AT44">
        <f>4340*9.8/100</f>
        <v>425.32</v>
      </c>
      <c r="AU44">
        <f>19.3*9.8</f>
        <v>189.14000000000001</v>
      </c>
      <c r="AV44" t="s">
        <v>40</v>
      </c>
      <c r="AW44">
        <v>40</v>
      </c>
      <c r="AX44">
        <v>3</v>
      </c>
      <c r="AY44">
        <v>6.35</v>
      </c>
      <c r="AZ44">
        <v>31.7</v>
      </c>
      <c r="BA44">
        <f>3719*9.8/100</f>
        <v>364.46200000000005</v>
      </c>
      <c r="BB44">
        <f>17.05*9.8</f>
        <v>167.09000000000003</v>
      </c>
      <c r="BC44">
        <v>4</v>
      </c>
      <c r="BD44">
        <v>35</v>
      </c>
      <c r="BE44">
        <v>2</v>
      </c>
      <c r="BF44">
        <v>90</v>
      </c>
      <c r="BG44">
        <v>4</v>
      </c>
      <c r="BH44">
        <v>35</v>
      </c>
      <c r="BI44">
        <v>2</v>
      </c>
      <c r="BJ44">
        <v>90</v>
      </c>
      <c r="BL44" s="30">
        <v>0</v>
      </c>
      <c r="BM44" t="s">
        <v>378</v>
      </c>
      <c r="BN44" t="s">
        <v>681</v>
      </c>
      <c r="BP44" s="30">
        <v>31.7</v>
      </c>
      <c r="BQ44">
        <v>8</v>
      </c>
      <c r="BR44">
        <v>24</v>
      </c>
      <c r="BS44">
        <f>3719*9.8/100</f>
        <v>364.46200000000005</v>
      </c>
      <c r="BT44">
        <f>17.05*9.8</f>
        <v>167.09000000000003</v>
      </c>
      <c r="BU44" s="23">
        <v>0.96</v>
      </c>
    </row>
    <row r="45" spans="1:74">
      <c r="A45">
        <v>40</v>
      </c>
      <c r="B45" s="1">
        <v>1</v>
      </c>
      <c r="C45">
        <v>11</v>
      </c>
      <c r="D45" t="s">
        <v>38</v>
      </c>
      <c r="E45">
        <v>1987</v>
      </c>
      <c r="F45" t="s">
        <v>27</v>
      </c>
      <c r="G45" t="s">
        <v>158</v>
      </c>
      <c r="H45" s="1" t="s">
        <v>164</v>
      </c>
      <c r="I45">
        <f>280*9.8/100</f>
        <v>27.44</v>
      </c>
      <c r="J45">
        <f>280*9.8/100</f>
        <v>27.44</v>
      </c>
      <c r="K45">
        <f>280*9.8/100</f>
        <v>27.44</v>
      </c>
      <c r="L45">
        <v>3000</v>
      </c>
      <c r="M45">
        <v>1750</v>
      </c>
      <c r="N45">
        <v>0</v>
      </c>
      <c r="O45">
        <f>36*9.8</f>
        <v>352.8</v>
      </c>
      <c r="P45">
        <v>200</v>
      </c>
      <c r="Q45">
        <v>350</v>
      </c>
      <c r="R45" t="s">
        <v>62</v>
      </c>
      <c r="T45">
        <v>12.7</v>
      </c>
      <c r="U45">
        <v>127</v>
      </c>
      <c r="V45" s="1">
        <f>3850*9.8/100</f>
        <v>377.3</v>
      </c>
      <c r="W45" s="1">
        <v>205</v>
      </c>
      <c r="X45" t="s">
        <v>165</v>
      </c>
      <c r="Y45">
        <v>100</v>
      </c>
      <c r="Z45">
        <v>2</v>
      </c>
      <c r="AA45">
        <v>6</v>
      </c>
      <c r="AB45">
        <v>28.3</v>
      </c>
      <c r="AC45">
        <f>3800*9.8/100</f>
        <v>372.4</v>
      </c>
      <c r="AD45" s="16">
        <v>205</v>
      </c>
      <c r="AE45">
        <v>3</v>
      </c>
      <c r="AF45">
        <v>40</v>
      </c>
      <c r="AG45">
        <v>0</v>
      </c>
      <c r="AH45">
        <v>0</v>
      </c>
      <c r="AI45">
        <v>3</v>
      </c>
      <c r="AJ45">
        <v>40</v>
      </c>
      <c r="AK45">
        <v>0</v>
      </c>
      <c r="AL45">
        <v>0</v>
      </c>
      <c r="AN45">
        <v>300</v>
      </c>
      <c r="AO45">
        <v>300</v>
      </c>
      <c r="AP45" t="s">
        <v>62</v>
      </c>
      <c r="AR45">
        <v>12.7</v>
      </c>
      <c r="AS45">
        <v>127</v>
      </c>
      <c r="AT45">
        <f>3850*9.8/100</f>
        <v>377.3</v>
      </c>
      <c r="AU45" s="16">
        <v>205</v>
      </c>
      <c r="AV45" t="s">
        <v>165</v>
      </c>
      <c r="AW45">
        <v>50</v>
      </c>
      <c r="AX45">
        <v>3</v>
      </c>
      <c r="AY45">
        <v>6</v>
      </c>
      <c r="AZ45">
        <v>28.3</v>
      </c>
      <c r="BA45">
        <f>3800*9.8/100</f>
        <v>372.4</v>
      </c>
      <c r="BB45" s="16">
        <v>205</v>
      </c>
      <c r="BC45">
        <v>4</v>
      </c>
      <c r="BD45">
        <v>40</v>
      </c>
      <c r="BE45">
        <v>2</v>
      </c>
      <c r="BF45">
        <v>80</v>
      </c>
      <c r="BG45">
        <v>4</v>
      </c>
      <c r="BH45">
        <v>40</v>
      </c>
      <c r="BI45">
        <v>2</v>
      </c>
      <c r="BJ45">
        <v>80</v>
      </c>
      <c r="BL45" s="30">
        <v>2</v>
      </c>
      <c r="BM45" t="s">
        <v>727</v>
      </c>
      <c r="BN45" t="s">
        <v>683</v>
      </c>
      <c r="BP45" s="30">
        <v>20</v>
      </c>
      <c r="BQ45" s="16">
        <v>7</v>
      </c>
      <c r="BR45" s="16">
        <v>28</v>
      </c>
      <c r="BS45">
        <f>10800*9.8/100</f>
        <v>1058.4000000000001</v>
      </c>
      <c r="BT45" s="16">
        <v>205</v>
      </c>
      <c r="BU45" s="76">
        <v>1.1599999999999999</v>
      </c>
    </row>
    <row r="46" spans="1:74">
      <c r="A46">
        <v>41</v>
      </c>
      <c r="B46" s="1">
        <v>1</v>
      </c>
      <c r="G46" t="s">
        <v>158</v>
      </c>
      <c r="H46" s="1" t="s">
        <v>715</v>
      </c>
      <c r="I46">
        <f>287*9.8/100</f>
        <v>28.126000000000005</v>
      </c>
      <c r="J46">
        <f>287*9.8/100</f>
        <v>28.126000000000005</v>
      </c>
      <c r="K46">
        <f>287*9.8/100</f>
        <v>28.126000000000005</v>
      </c>
      <c r="L46">
        <v>3000</v>
      </c>
      <c r="M46">
        <v>1750</v>
      </c>
      <c r="N46">
        <v>0</v>
      </c>
      <c r="O46">
        <f>36*9.8</f>
        <v>352.8</v>
      </c>
      <c r="P46">
        <v>200</v>
      </c>
      <c r="Q46">
        <v>350</v>
      </c>
      <c r="R46" t="s">
        <v>62</v>
      </c>
      <c r="T46">
        <v>12.7</v>
      </c>
      <c r="U46">
        <v>127</v>
      </c>
      <c r="V46" s="1">
        <f>3850*9.8/100</f>
        <v>377.3</v>
      </c>
      <c r="W46" s="1">
        <v>205</v>
      </c>
      <c r="X46" t="s">
        <v>165</v>
      </c>
      <c r="Y46">
        <v>50</v>
      </c>
      <c r="Z46">
        <v>3</v>
      </c>
      <c r="AA46">
        <v>6</v>
      </c>
      <c r="AB46">
        <v>28.3</v>
      </c>
      <c r="AC46">
        <f>3800*9.8/100</f>
        <v>372.4</v>
      </c>
      <c r="AD46" s="16">
        <v>205</v>
      </c>
      <c r="AE46">
        <v>3</v>
      </c>
      <c r="AF46">
        <v>40</v>
      </c>
      <c r="AG46">
        <v>0</v>
      </c>
      <c r="AH46">
        <v>0</v>
      </c>
      <c r="AI46">
        <v>3</v>
      </c>
      <c r="AJ46">
        <v>40</v>
      </c>
      <c r="AK46">
        <v>0</v>
      </c>
      <c r="AL46">
        <v>0</v>
      </c>
      <c r="AN46">
        <v>300</v>
      </c>
      <c r="AO46">
        <v>300</v>
      </c>
      <c r="AP46" t="s">
        <v>62</v>
      </c>
      <c r="AR46">
        <v>12.7</v>
      </c>
      <c r="AS46">
        <v>127</v>
      </c>
      <c r="AT46">
        <f>3850*9.8/100</f>
        <v>377.3</v>
      </c>
      <c r="AU46" s="16">
        <v>205</v>
      </c>
      <c r="AV46" t="s">
        <v>165</v>
      </c>
      <c r="AW46">
        <v>50</v>
      </c>
      <c r="AX46">
        <v>3</v>
      </c>
      <c r="AY46">
        <v>6</v>
      </c>
      <c r="AZ46">
        <v>28.3</v>
      </c>
      <c r="BA46">
        <f>3800*9.8/100</f>
        <v>372.4</v>
      </c>
      <c r="BB46" s="16">
        <v>205</v>
      </c>
      <c r="BC46">
        <v>4</v>
      </c>
      <c r="BD46">
        <v>40</v>
      </c>
      <c r="BE46">
        <v>2</v>
      </c>
      <c r="BF46">
        <v>80</v>
      </c>
      <c r="BG46">
        <v>4</v>
      </c>
      <c r="BH46">
        <v>40</v>
      </c>
      <c r="BI46">
        <v>2</v>
      </c>
      <c r="BJ46">
        <v>80</v>
      </c>
      <c r="BL46" s="30">
        <v>2</v>
      </c>
      <c r="BM46" t="s">
        <v>728</v>
      </c>
      <c r="BN46" t="s">
        <v>684</v>
      </c>
      <c r="BP46" s="30">
        <v>28.3</v>
      </c>
      <c r="BQ46" s="16">
        <v>7</v>
      </c>
      <c r="BR46" s="16">
        <v>14</v>
      </c>
      <c r="BS46">
        <f>3800*9.8/100</f>
        <v>372.4</v>
      </c>
      <c r="BT46" s="16">
        <v>205</v>
      </c>
      <c r="BU46" s="76">
        <v>0.41</v>
      </c>
    </row>
    <row r="47" spans="1:74">
      <c r="A47">
        <v>42</v>
      </c>
      <c r="B47" s="1">
        <v>1</v>
      </c>
      <c r="G47" t="s">
        <v>158</v>
      </c>
      <c r="H47" s="1" t="s">
        <v>167</v>
      </c>
      <c r="I47">
        <f>274*9.8/100</f>
        <v>26.852000000000004</v>
      </c>
      <c r="J47">
        <f>274*9.8/100</f>
        <v>26.852000000000004</v>
      </c>
      <c r="K47">
        <f>274*9.8/100</f>
        <v>26.852000000000004</v>
      </c>
      <c r="L47">
        <v>3000</v>
      </c>
      <c r="M47">
        <v>1750</v>
      </c>
      <c r="N47">
        <v>0</v>
      </c>
      <c r="O47">
        <f>36*9.8</f>
        <v>352.8</v>
      </c>
      <c r="P47">
        <v>200</v>
      </c>
      <c r="Q47">
        <v>350</v>
      </c>
      <c r="R47" t="s">
        <v>62</v>
      </c>
      <c r="T47">
        <v>12.7</v>
      </c>
      <c r="U47">
        <v>127</v>
      </c>
      <c r="V47" s="1">
        <f>3850*9.8/100</f>
        <v>377.3</v>
      </c>
      <c r="W47" s="1">
        <v>205</v>
      </c>
      <c r="X47" t="s">
        <v>165</v>
      </c>
      <c r="Y47">
        <v>50</v>
      </c>
      <c r="Z47">
        <v>3</v>
      </c>
      <c r="AA47">
        <v>6</v>
      </c>
      <c r="AB47">
        <v>28.3</v>
      </c>
      <c r="AC47">
        <f>3800*9.8/100</f>
        <v>372.4</v>
      </c>
      <c r="AD47" s="16">
        <v>205</v>
      </c>
      <c r="AE47">
        <v>3</v>
      </c>
      <c r="AF47">
        <v>40</v>
      </c>
      <c r="AG47">
        <v>0</v>
      </c>
      <c r="AH47">
        <v>0</v>
      </c>
      <c r="AI47">
        <v>3</v>
      </c>
      <c r="AJ47">
        <v>40</v>
      </c>
      <c r="AK47">
        <v>0</v>
      </c>
      <c r="AL47">
        <v>0</v>
      </c>
      <c r="AN47">
        <v>300</v>
      </c>
      <c r="AO47">
        <v>300</v>
      </c>
      <c r="AP47" t="s">
        <v>62</v>
      </c>
      <c r="AR47">
        <v>12.7</v>
      </c>
      <c r="AS47">
        <v>127</v>
      </c>
      <c r="AT47">
        <f>3850*9.8/100</f>
        <v>377.3</v>
      </c>
      <c r="AU47" s="16">
        <v>205</v>
      </c>
      <c r="AV47" t="s">
        <v>165</v>
      </c>
      <c r="AW47">
        <v>50</v>
      </c>
      <c r="AX47">
        <v>3</v>
      </c>
      <c r="AY47">
        <v>6</v>
      </c>
      <c r="AZ47">
        <v>28.3</v>
      </c>
      <c r="BA47">
        <f>3800*9.8/100</f>
        <v>372.4</v>
      </c>
      <c r="BB47" s="16">
        <v>205</v>
      </c>
      <c r="BC47">
        <v>4</v>
      </c>
      <c r="BD47">
        <v>40</v>
      </c>
      <c r="BE47">
        <v>2</v>
      </c>
      <c r="BF47">
        <v>80</v>
      </c>
      <c r="BG47">
        <v>4</v>
      </c>
      <c r="BH47">
        <v>40</v>
      </c>
      <c r="BI47">
        <v>2</v>
      </c>
      <c r="BJ47">
        <v>80</v>
      </c>
      <c r="BL47" s="30">
        <v>2</v>
      </c>
      <c r="BM47" t="s">
        <v>728</v>
      </c>
      <c r="BN47" t="s">
        <v>685</v>
      </c>
      <c r="BP47" s="30">
        <v>28.3</v>
      </c>
      <c r="BQ47" s="16">
        <v>3</v>
      </c>
      <c r="BR47" s="16">
        <v>6</v>
      </c>
      <c r="BS47">
        <f>3800*9.8/100</f>
        <v>372.4</v>
      </c>
      <c r="BT47" s="16">
        <v>205</v>
      </c>
      <c r="BU47" s="76">
        <v>0.21</v>
      </c>
    </row>
    <row r="48" spans="1:74">
      <c r="A48">
        <v>43</v>
      </c>
      <c r="B48" s="1">
        <v>1</v>
      </c>
      <c r="C48" s="2">
        <v>12</v>
      </c>
      <c r="D48" t="s">
        <v>37</v>
      </c>
      <c r="E48">
        <v>1988</v>
      </c>
      <c r="F48" t="s">
        <v>27</v>
      </c>
      <c r="G48" t="s">
        <v>160</v>
      </c>
      <c r="H48" s="1" t="s">
        <v>168</v>
      </c>
      <c r="I48">
        <f>347*9.8/100</f>
        <v>34.006</v>
      </c>
      <c r="J48">
        <f>315*9.8/100</f>
        <v>30.87</v>
      </c>
      <c r="K48">
        <f>347*9.8/100</f>
        <v>34.006</v>
      </c>
      <c r="L48">
        <v>2160</v>
      </c>
      <c r="M48">
        <v>1100</v>
      </c>
      <c r="N48">
        <v>0</v>
      </c>
      <c r="O48">
        <f>60*9.8/100*340*340/1000</f>
        <v>679.72799999999995</v>
      </c>
      <c r="P48">
        <v>260</v>
      </c>
      <c r="Q48">
        <v>300</v>
      </c>
      <c r="R48" t="s">
        <v>62</v>
      </c>
      <c r="T48">
        <v>12.7</v>
      </c>
      <c r="U48">
        <v>127</v>
      </c>
      <c r="V48" s="1">
        <f>4340*9.8/100</f>
        <v>425.32</v>
      </c>
      <c r="W48" s="1">
        <f>19.3*9.8</f>
        <v>189.14000000000001</v>
      </c>
      <c r="X48" t="s">
        <v>40</v>
      </c>
      <c r="Y48">
        <v>55</v>
      </c>
      <c r="Z48">
        <v>4</v>
      </c>
      <c r="AA48">
        <v>6.35</v>
      </c>
      <c r="AB48">
        <v>31.7</v>
      </c>
      <c r="AC48">
        <f>3180*9.8/100</f>
        <v>311.64000000000004</v>
      </c>
      <c r="AD48">
        <f>15.8*9.8</f>
        <v>154.84000000000003</v>
      </c>
      <c r="AE48">
        <v>4</v>
      </c>
      <c r="AF48">
        <v>40</v>
      </c>
      <c r="AG48">
        <v>4</v>
      </c>
      <c r="AH48">
        <v>40</v>
      </c>
      <c r="AI48">
        <v>4</v>
      </c>
      <c r="AJ48">
        <v>40</v>
      </c>
      <c r="AK48">
        <v>4</v>
      </c>
      <c r="AL48">
        <v>40</v>
      </c>
      <c r="AN48">
        <v>340</v>
      </c>
      <c r="AO48">
        <v>340</v>
      </c>
      <c r="AP48" t="s">
        <v>39</v>
      </c>
      <c r="AR48">
        <v>15.9</v>
      </c>
      <c r="AS48">
        <v>199</v>
      </c>
      <c r="AT48">
        <f t="shared" ref="AT48:AT53" si="25">4070*9.8/100</f>
        <v>398.86</v>
      </c>
      <c r="AU48">
        <f t="shared" ref="AU48:AU53" si="26">18.44*9.8</f>
        <v>180.71200000000002</v>
      </c>
      <c r="AV48" t="s">
        <v>40</v>
      </c>
      <c r="AW48">
        <v>45</v>
      </c>
      <c r="AX48">
        <v>3</v>
      </c>
      <c r="AY48">
        <v>6.35</v>
      </c>
      <c r="AZ48">
        <v>31.6</v>
      </c>
      <c r="BA48">
        <f t="shared" ref="BA48:BA53" si="27">3180*9.8/100</f>
        <v>311.64000000000004</v>
      </c>
      <c r="BB48">
        <f t="shared" ref="BB48:BB53" si="28">15.8*9.8</f>
        <v>154.84000000000003</v>
      </c>
      <c r="BC48">
        <v>4</v>
      </c>
      <c r="BD48">
        <v>40</v>
      </c>
      <c r="BE48">
        <v>2</v>
      </c>
      <c r="BF48">
        <v>80</v>
      </c>
      <c r="BG48">
        <v>4</v>
      </c>
      <c r="BH48">
        <v>40</v>
      </c>
      <c r="BI48">
        <v>2</v>
      </c>
      <c r="BJ48">
        <v>80</v>
      </c>
      <c r="BL48" s="30">
        <v>0</v>
      </c>
      <c r="BM48" t="s">
        <v>166</v>
      </c>
      <c r="BN48" t="s">
        <v>949</v>
      </c>
      <c r="BP48" s="30">
        <v>38</v>
      </c>
      <c r="BQ48" s="97">
        <v>5</v>
      </c>
      <c r="BR48" s="97">
        <v>10</v>
      </c>
      <c r="BS48">
        <f t="shared" ref="BS48:BS53" si="29">3060*9.8/100</f>
        <v>299.88000000000005</v>
      </c>
      <c r="BT48">
        <f t="shared" ref="BT48:BT53" si="30">19.76*9.8</f>
        <v>193.64800000000002</v>
      </c>
      <c r="BU48" s="23">
        <v>0.65</v>
      </c>
    </row>
    <row r="49" spans="1:73" ht="37.5">
      <c r="A49">
        <v>44</v>
      </c>
      <c r="B49" s="1">
        <v>2</v>
      </c>
      <c r="G49" t="s">
        <v>158</v>
      </c>
      <c r="H49" s="52" t="s">
        <v>169</v>
      </c>
      <c r="I49">
        <f>337*9.8/100</f>
        <v>33.026000000000003</v>
      </c>
      <c r="J49">
        <f>327*9.8/100</f>
        <v>32.046000000000006</v>
      </c>
      <c r="K49">
        <f>402*9.8/100</f>
        <v>39.396000000000001</v>
      </c>
      <c r="L49">
        <v>2160</v>
      </c>
      <c r="M49">
        <v>1100</v>
      </c>
      <c r="N49">
        <v>0</v>
      </c>
      <c r="O49">
        <f>60*9.8/100*340*340/1000</f>
        <v>679.72799999999995</v>
      </c>
      <c r="P49">
        <v>260</v>
      </c>
      <c r="Q49">
        <v>300</v>
      </c>
      <c r="R49" s="58" t="s">
        <v>730</v>
      </c>
      <c r="T49" s="40">
        <f>(15.9+12.7)/2</f>
        <v>14.3</v>
      </c>
      <c r="U49">
        <f>(199*2+127*2)/4</f>
        <v>163</v>
      </c>
      <c r="V49" s="2">
        <f>6400*9.8/100</f>
        <v>627.20000000000005</v>
      </c>
      <c r="W49" s="1">
        <f>18.36*9.8</f>
        <v>179.928</v>
      </c>
      <c r="X49" t="s">
        <v>40</v>
      </c>
      <c r="Y49">
        <v>55</v>
      </c>
      <c r="Z49">
        <v>4</v>
      </c>
      <c r="AA49">
        <v>6.35</v>
      </c>
      <c r="AB49">
        <v>31.7</v>
      </c>
      <c r="AC49">
        <f>3180*9.8/100</f>
        <v>311.64000000000004</v>
      </c>
      <c r="AD49">
        <f>15.8*9.8</f>
        <v>154.84000000000003</v>
      </c>
      <c r="AE49">
        <v>4</v>
      </c>
      <c r="AF49">
        <v>40</v>
      </c>
      <c r="AG49">
        <v>0</v>
      </c>
      <c r="AH49">
        <v>40</v>
      </c>
      <c r="AI49">
        <v>4</v>
      </c>
      <c r="AJ49">
        <v>40</v>
      </c>
      <c r="AK49">
        <v>0</v>
      </c>
      <c r="AL49">
        <v>40</v>
      </c>
      <c r="AN49">
        <v>340</v>
      </c>
      <c r="AO49">
        <v>340</v>
      </c>
      <c r="AP49" t="s">
        <v>39</v>
      </c>
      <c r="AR49">
        <v>15.9</v>
      </c>
      <c r="AS49">
        <v>199</v>
      </c>
      <c r="AT49">
        <f t="shared" si="25"/>
        <v>398.86</v>
      </c>
      <c r="AU49">
        <f t="shared" si="26"/>
        <v>180.71200000000002</v>
      </c>
      <c r="AV49" t="s">
        <v>40</v>
      </c>
      <c r="AW49">
        <v>45</v>
      </c>
      <c r="AX49">
        <v>3</v>
      </c>
      <c r="AY49">
        <v>6.35</v>
      </c>
      <c r="AZ49">
        <v>31.6</v>
      </c>
      <c r="BA49">
        <f t="shared" si="27"/>
        <v>311.64000000000004</v>
      </c>
      <c r="BB49">
        <f t="shared" si="28"/>
        <v>154.84000000000003</v>
      </c>
      <c r="BC49">
        <v>4</v>
      </c>
      <c r="BD49">
        <v>40</v>
      </c>
      <c r="BE49">
        <v>2</v>
      </c>
      <c r="BF49">
        <v>80</v>
      </c>
      <c r="BG49">
        <v>4</v>
      </c>
      <c r="BH49">
        <v>40</v>
      </c>
      <c r="BI49">
        <v>2</v>
      </c>
      <c r="BJ49">
        <v>80</v>
      </c>
      <c r="BL49" s="30">
        <v>0</v>
      </c>
      <c r="BM49" t="s">
        <v>166</v>
      </c>
      <c r="BQ49">
        <v>10</v>
      </c>
      <c r="BR49">
        <v>20</v>
      </c>
      <c r="BS49">
        <f t="shared" si="29"/>
        <v>299.88000000000005</v>
      </c>
      <c r="BT49">
        <f t="shared" si="30"/>
        <v>193.64800000000002</v>
      </c>
      <c r="BU49" s="23">
        <v>0.65</v>
      </c>
    </row>
    <row r="50" spans="1:73" ht="37.5">
      <c r="A50">
        <v>45</v>
      </c>
      <c r="B50" s="1">
        <v>1</v>
      </c>
      <c r="G50" t="s">
        <v>160</v>
      </c>
      <c r="H50" s="1" t="s">
        <v>171</v>
      </c>
      <c r="I50">
        <f>363*9.8/100</f>
        <v>35.573999999999998</v>
      </c>
      <c r="J50">
        <f>350*9.8/100</f>
        <v>34.300000000000004</v>
      </c>
      <c r="K50">
        <f>362*9.8/100</f>
        <v>35.476000000000006</v>
      </c>
      <c r="L50">
        <v>2160</v>
      </c>
      <c r="M50">
        <v>1100</v>
      </c>
      <c r="N50">
        <v>0</v>
      </c>
      <c r="O50">
        <f>60*9.8/100*340*340/1000</f>
        <v>679.72799999999995</v>
      </c>
      <c r="P50">
        <v>260</v>
      </c>
      <c r="Q50">
        <v>300</v>
      </c>
      <c r="R50" s="58" t="s">
        <v>731</v>
      </c>
      <c r="T50" s="40">
        <f>(15.9+12.7)/2</f>
        <v>14.3</v>
      </c>
      <c r="U50">
        <f>(199*4+127*4)/8</f>
        <v>163</v>
      </c>
      <c r="V50" s="1">
        <f>(4070*199*4+4340*127*4)/(199*4+127*4)*9.8/100</f>
        <v>409.16803680981604</v>
      </c>
      <c r="W50" s="1">
        <f>(18.7*199*4+17.5*127*4)/(199*4+127*4)*9.8</f>
        <v>178.67865030674847</v>
      </c>
      <c r="X50" t="s">
        <v>40</v>
      </c>
      <c r="Y50">
        <v>45</v>
      </c>
      <c r="Z50">
        <v>4</v>
      </c>
      <c r="AA50">
        <v>6.35</v>
      </c>
      <c r="AB50">
        <v>31.7</v>
      </c>
      <c r="AC50">
        <f>3180*9.8/100</f>
        <v>311.64000000000004</v>
      </c>
      <c r="AD50">
        <f>15.8*9.8</f>
        <v>154.84000000000003</v>
      </c>
      <c r="AE50">
        <v>4</v>
      </c>
      <c r="AF50">
        <v>40</v>
      </c>
      <c r="AG50">
        <v>4</v>
      </c>
      <c r="AH50">
        <v>40</v>
      </c>
      <c r="AI50">
        <v>4</v>
      </c>
      <c r="AJ50">
        <v>40</v>
      </c>
      <c r="AK50">
        <v>4</v>
      </c>
      <c r="AL50">
        <v>40</v>
      </c>
      <c r="AN50">
        <v>340</v>
      </c>
      <c r="AO50">
        <v>340</v>
      </c>
      <c r="AP50" t="s">
        <v>39</v>
      </c>
      <c r="AR50">
        <v>15.9</v>
      </c>
      <c r="AS50">
        <v>199</v>
      </c>
      <c r="AT50">
        <f t="shared" si="25"/>
        <v>398.86</v>
      </c>
      <c r="AU50">
        <f t="shared" si="26"/>
        <v>180.71200000000002</v>
      </c>
      <c r="AV50" t="s">
        <v>40</v>
      </c>
      <c r="AW50">
        <v>45</v>
      </c>
      <c r="AX50">
        <v>3</v>
      </c>
      <c r="AY50">
        <v>6.35</v>
      </c>
      <c r="AZ50">
        <v>31.6</v>
      </c>
      <c r="BA50">
        <f t="shared" si="27"/>
        <v>311.64000000000004</v>
      </c>
      <c r="BB50">
        <f t="shared" si="28"/>
        <v>154.84000000000003</v>
      </c>
      <c r="BC50">
        <v>4</v>
      </c>
      <c r="BD50">
        <v>40</v>
      </c>
      <c r="BE50">
        <v>2</v>
      </c>
      <c r="BF50">
        <v>80</v>
      </c>
      <c r="BG50">
        <v>4</v>
      </c>
      <c r="BH50">
        <v>40</v>
      </c>
      <c r="BI50">
        <v>2</v>
      </c>
      <c r="BJ50">
        <v>80</v>
      </c>
      <c r="BL50" s="30">
        <v>0</v>
      </c>
      <c r="BM50" t="s">
        <v>166</v>
      </c>
      <c r="BN50" t="s">
        <v>949</v>
      </c>
      <c r="BP50" s="30">
        <v>38</v>
      </c>
      <c r="BQ50" s="97">
        <v>5</v>
      </c>
      <c r="BR50" s="97">
        <v>10</v>
      </c>
      <c r="BS50">
        <f t="shared" si="29"/>
        <v>299.88000000000005</v>
      </c>
      <c r="BT50">
        <f t="shared" si="30"/>
        <v>193.64800000000002</v>
      </c>
      <c r="BU50" s="23">
        <v>0.65</v>
      </c>
    </row>
    <row r="51" spans="1:73" ht="37.5">
      <c r="A51">
        <v>46</v>
      </c>
      <c r="B51" s="1">
        <v>2</v>
      </c>
      <c r="G51" t="s">
        <v>84</v>
      </c>
      <c r="H51" s="52" t="s">
        <v>172</v>
      </c>
      <c r="I51">
        <f>369*9.8/100</f>
        <v>36.162000000000006</v>
      </c>
      <c r="J51">
        <f>369*9.8/100</f>
        <v>36.162000000000006</v>
      </c>
      <c r="K51">
        <f>369*9.8/100</f>
        <v>36.162000000000006</v>
      </c>
      <c r="L51">
        <v>2160</v>
      </c>
      <c r="M51">
        <v>1100</v>
      </c>
      <c r="N51">
        <v>0</v>
      </c>
      <c r="O51">
        <f>60*9.8/100*340*340/1000</f>
        <v>679.72799999999995</v>
      </c>
      <c r="P51">
        <v>260</v>
      </c>
      <c r="Q51">
        <v>300</v>
      </c>
      <c r="R51" s="58" t="s">
        <v>732</v>
      </c>
      <c r="T51" s="40">
        <f>(19.1*2+15.9*6)/8</f>
        <v>16.700000000000003</v>
      </c>
      <c r="U51">
        <f>(199*6+287*2)/8</f>
        <v>221</v>
      </c>
      <c r="V51" s="1">
        <f>(4070*199*6+4360*287*2)/(199*6+287*2)*9.8/100</f>
        <v>408.0868552036199</v>
      </c>
      <c r="W51" s="1">
        <f>(18.7*199*6+18.8*287*2)/(199*6+287*2)*9.8</f>
        <v>183.57816742081448</v>
      </c>
      <c r="X51" t="s">
        <v>40</v>
      </c>
      <c r="Y51">
        <v>50</v>
      </c>
      <c r="Z51">
        <v>4</v>
      </c>
      <c r="AA51">
        <v>6.35</v>
      </c>
      <c r="AB51">
        <v>31.7</v>
      </c>
      <c r="AC51">
        <f>3180*9.8/100</f>
        <v>311.64000000000004</v>
      </c>
      <c r="AD51">
        <f>15.8*9.8</f>
        <v>154.84000000000003</v>
      </c>
      <c r="AE51">
        <v>4</v>
      </c>
      <c r="AF51">
        <v>40</v>
      </c>
      <c r="AG51">
        <v>4</v>
      </c>
      <c r="AH51">
        <v>40</v>
      </c>
      <c r="AI51">
        <v>4</v>
      </c>
      <c r="AJ51">
        <v>40</v>
      </c>
      <c r="AK51">
        <v>4</v>
      </c>
      <c r="AL51">
        <v>40</v>
      </c>
      <c r="AN51">
        <v>340</v>
      </c>
      <c r="AO51">
        <v>340</v>
      </c>
      <c r="AP51" t="s">
        <v>39</v>
      </c>
      <c r="AR51">
        <v>15.9</v>
      </c>
      <c r="AS51">
        <v>199</v>
      </c>
      <c r="AT51">
        <f t="shared" si="25"/>
        <v>398.86</v>
      </c>
      <c r="AU51">
        <f t="shared" si="26"/>
        <v>180.71200000000002</v>
      </c>
      <c r="AV51" t="s">
        <v>40</v>
      </c>
      <c r="AW51">
        <v>45</v>
      </c>
      <c r="AX51">
        <v>3</v>
      </c>
      <c r="AY51">
        <v>6.35</v>
      </c>
      <c r="AZ51">
        <v>31.6</v>
      </c>
      <c r="BA51">
        <f t="shared" si="27"/>
        <v>311.64000000000004</v>
      </c>
      <c r="BB51">
        <f t="shared" si="28"/>
        <v>154.84000000000003</v>
      </c>
      <c r="BC51">
        <v>4</v>
      </c>
      <c r="BD51">
        <v>40</v>
      </c>
      <c r="BE51">
        <v>2</v>
      </c>
      <c r="BF51">
        <v>80</v>
      </c>
      <c r="BG51">
        <v>4</v>
      </c>
      <c r="BH51">
        <v>40</v>
      </c>
      <c r="BI51">
        <v>2</v>
      </c>
      <c r="BJ51">
        <v>80</v>
      </c>
      <c r="BL51" s="30">
        <v>0</v>
      </c>
      <c r="BM51" t="s">
        <v>166</v>
      </c>
      <c r="BQ51">
        <v>10</v>
      </c>
      <c r="BR51">
        <v>20</v>
      </c>
      <c r="BS51">
        <f t="shared" si="29"/>
        <v>299.88000000000005</v>
      </c>
      <c r="BT51">
        <f t="shared" si="30"/>
        <v>193.64800000000002</v>
      </c>
      <c r="BU51" s="23">
        <v>0.65</v>
      </c>
    </row>
    <row r="52" spans="1:73" ht="37.5">
      <c r="A52">
        <v>47</v>
      </c>
      <c r="B52" s="1">
        <v>2</v>
      </c>
      <c r="G52" t="s">
        <v>160</v>
      </c>
      <c r="H52" s="52" t="s">
        <v>173</v>
      </c>
      <c r="I52">
        <f>449*9.8/100</f>
        <v>44.00200000000001</v>
      </c>
      <c r="J52">
        <f>435*9.8/100</f>
        <v>42.63</v>
      </c>
      <c r="K52">
        <f>449*9.8/100</f>
        <v>44.00200000000001</v>
      </c>
      <c r="L52">
        <v>2160</v>
      </c>
      <c r="M52">
        <v>1100</v>
      </c>
      <c r="N52">
        <v>0</v>
      </c>
      <c r="O52">
        <f>100*9.8/100*340*340/1000</f>
        <v>1132.8800000000003</v>
      </c>
      <c r="P52">
        <v>260</v>
      </c>
      <c r="Q52">
        <v>300</v>
      </c>
      <c r="R52" s="58" t="s">
        <v>733</v>
      </c>
      <c r="T52" s="40">
        <f>(15.9+12.7)/2</f>
        <v>14.3</v>
      </c>
      <c r="U52">
        <f>(199*4+127*4)/8</f>
        <v>163</v>
      </c>
      <c r="V52" s="1">
        <f>(4070*199*4+4340*127*4)/(199*4+127*4)*9.8/100</f>
        <v>409.16803680981604</v>
      </c>
      <c r="W52" s="1">
        <f>(18.7*199*4+17.5*127*4)/(199*4+127*4)*9.8</f>
        <v>178.67865030674847</v>
      </c>
      <c r="X52" t="s">
        <v>40</v>
      </c>
      <c r="Y52">
        <v>45</v>
      </c>
      <c r="Z52">
        <v>4</v>
      </c>
      <c r="AA52">
        <v>6.35</v>
      </c>
      <c r="AB52">
        <v>31.7</v>
      </c>
      <c r="AC52">
        <f>3180*9.8/100</f>
        <v>311.64000000000004</v>
      </c>
      <c r="AD52">
        <f>15.8*9.8</f>
        <v>154.84000000000003</v>
      </c>
      <c r="AE52">
        <v>4</v>
      </c>
      <c r="AF52">
        <v>40</v>
      </c>
      <c r="AG52">
        <v>4</v>
      </c>
      <c r="AH52">
        <v>40</v>
      </c>
      <c r="AI52">
        <v>4</v>
      </c>
      <c r="AJ52">
        <v>40</v>
      </c>
      <c r="AK52">
        <v>4</v>
      </c>
      <c r="AL52">
        <v>40</v>
      </c>
      <c r="AN52">
        <v>340</v>
      </c>
      <c r="AO52">
        <v>340</v>
      </c>
      <c r="AP52" t="s">
        <v>39</v>
      </c>
      <c r="AR52">
        <v>15.9</v>
      </c>
      <c r="AS52">
        <v>199</v>
      </c>
      <c r="AT52">
        <f t="shared" si="25"/>
        <v>398.86</v>
      </c>
      <c r="AU52">
        <f t="shared" si="26"/>
        <v>180.71200000000002</v>
      </c>
      <c r="AV52" t="s">
        <v>40</v>
      </c>
      <c r="AW52">
        <v>45</v>
      </c>
      <c r="AX52">
        <v>3</v>
      </c>
      <c r="AY52">
        <v>6.35</v>
      </c>
      <c r="AZ52">
        <v>31.6</v>
      </c>
      <c r="BA52">
        <f t="shared" si="27"/>
        <v>311.64000000000004</v>
      </c>
      <c r="BB52">
        <f t="shared" si="28"/>
        <v>154.84000000000003</v>
      </c>
      <c r="BC52">
        <v>4</v>
      </c>
      <c r="BD52">
        <v>40</v>
      </c>
      <c r="BE52">
        <v>2</v>
      </c>
      <c r="BF52">
        <v>80</v>
      </c>
      <c r="BG52">
        <v>4</v>
      </c>
      <c r="BH52">
        <v>40</v>
      </c>
      <c r="BI52">
        <v>2</v>
      </c>
      <c r="BJ52">
        <v>80</v>
      </c>
      <c r="BL52" s="30">
        <v>0</v>
      </c>
      <c r="BM52" t="s">
        <v>166</v>
      </c>
      <c r="BQ52">
        <v>10</v>
      </c>
      <c r="BR52">
        <v>20</v>
      </c>
      <c r="BS52">
        <f t="shared" si="29"/>
        <v>299.88000000000005</v>
      </c>
      <c r="BT52">
        <f t="shared" si="30"/>
        <v>193.64800000000002</v>
      </c>
      <c r="BU52" s="23">
        <v>0.65</v>
      </c>
    </row>
    <row r="53" spans="1:73">
      <c r="A53">
        <v>48</v>
      </c>
      <c r="B53" s="1">
        <v>1</v>
      </c>
      <c r="G53" t="s">
        <v>734</v>
      </c>
      <c r="H53" s="1" t="s">
        <v>174</v>
      </c>
      <c r="I53">
        <f>449*9.8/100</f>
        <v>44.00200000000001</v>
      </c>
      <c r="J53">
        <f>435*9.8/100</f>
        <v>42.63</v>
      </c>
      <c r="K53">
        <f>449*9.8/100</f>
        <v>44.00200000000001</v>
      </c>
      <c r="L53">
        <v>2160</v>
      </c>
      <c r="M53">
        <v>1100</v>
      </c>
      <c r="N53">
        <v>0</v>
      </c>
      <c r="O53">
        <f>100*9.8/100*340*340/1000</f>
        <v>1132.8800000000003</v>
      </c>
      <c r="P53">
        <v>260</v>
      </c>
      <c r="Q53">
        <v>300</v>
      </c>
      <c r="R53" t="s">
        <v>57</v>
      </c>
      <c r="T53">
        <v>19.100000000000001</v>
      </c>
      <c r="U53">
        <v>287</v>
      </c>
      <c r="V53" s="1">
        <f>4360*9.8/100</f>
        <v>427.28</v>
      </c>
      <c r="W53" s="1">
        <f>18.8*9.8</f>
        <v>184.24</v>
      </c>
      <c r="X53" t="s">
        <v>153</v>
      </c>
      <c r="Y53">
        <v>65</v>
      </c>
      <c r="Z53">
        <v>4</v>
      </c>
      <c r="AA53">
        <v>9.5299999999999994</v>
      </c>
      <c r="AB53">
        <v>71.3</v>
      </c>
      <c r="AC53">
        <f>3700*9.8/100</f>
        <v>362.6</v>
      </c>
      <c r="AD53">
        <f>18*9.8</f>
        <v>176.4</v>
      </c>
      <c r="AE53">
        <v>4</v>
      </c>
      <c r="AF53">
        <v>40</v>
      </c>
      <c r="AG53">
        <v>4</v>
      </c>
      <c r="AH53">
        <v>40</v>
      </c>
      <c r="AI53">
        <v>4</v>
      </c>
      <c r="AJ53">
        <v>40</v>
      </c>
      <c r="AK53">
        <v>4</v>
      </c>
      <c r="AL53">
        <v>40</v>
      </c>
      <c r="AN53">
        <v>340</v>
      </c>
      <c r="AO53">
        <v>340</v>
      </c>
      <c r="AP53" t="s">
        <v>39</v>
      </c>
      <c r="AR53">
        <v>15.9</v>
      </c>
      <c r="AS53">
        <v>199</v>
      </c>
      <c r="AT53">
        <f t="shared" si="25"/>
        <v>398.86</v>
      </c>
      <c r="AU53">
        <f t="shared" si="26"/>
        <v>180.71200000000002</v>
      </c>
      <c r="AV53" t="s">
        <v>40</v>
      </c>
      <c r="AW53">
        <v>45</v>
      </c>
      <c r="AX53">
        <v>3</v>
      </c>
      <c r="AY53">
        <v>6.35</v>
      </c>
      <c r="AZ53">
        <v>31.6</v>
      </c>
      <c r="BA53">
        <f t="shared" si="27"/>
        <v>311.64000000000004</v>
      </c>
      <c r="BB53">
        <f t="shared" si="28"/>
        <v>154.84000000000003</v>
      </c>
      <c r="BC53">
        <v>4</v>
      </c>
      <c r="BD53">
        <v>40</v>
      </c>
      <c r="BE53">
        <v>2</v>
      </c>
      <c r="BF53">
        <v>80</v>
      </c>
      <c r="BG53">
        <v>4</v>
      </c>
      <c r="BH53">
        <v>40</v>
      </c>
      <c r="BI53">
        <v>2</v>
      </c>
      <c r="BJ53">
        <v>80</v>
      </c>
      <c r="BL53" s="30">
        <v>0</v>
      </c>
      <c r="BM53" t="s">
        <v>166</v>
      </c>
      <c r="BN53" t="s">
        <v>949</v>
      </c>
      <c r="BP53" s="30">
        <v>38</v>
      </c>
      <c r="BQ53" s="97">
        <v>5</v>
      </c>
      <c r="BR53" s="97">
        <v>10</v>
      </c>
      <c r="BS53">
        <f t="shared" si="29"/>
        <v>299.88000000000005</v>
      </c>
      <c r="BT53">
        <f t="shared" si="30"/>
        <v>193.64800000000002</v>
      </c>
      <c r="BU53" s="23">
        <v>0.65</v>
      </c>
    </row>
    <row r="54" spans="1:73" s="28" customFormat="1">
      <c r="A54" s="24">
        <v>49</v>
      </c>
      <c r="B54" s="1">
        <v>3</v>
      </c>
      <c r="C54" s="28">
        <v>13</v>
      </c>
      <c r="D54" s="28" t="s">
        <v>41</v>
      </c>
      <c r="E54" s="28">
        <v>1988</v>
      </c>
      <c r="F54" s="28" t="s">
        <v>27</v>
      </c>
      <c r="H54" s="55" t="s">
        <v>744</v>
      </c>
      <c r="I54" s="28">
        <f>275*9.8/100</f>
        <v>26.95</v>
      </c>
      <c r="J54" s="28">
        <f>275*9.8/100</f>
        <v>26.95</v>
      </c>
      <c r="K54" s="28">
        <f>275*9.8/100</f>
        <v>26.95</v>
      </c>
      <c r="L54" s="28">
        <v>2000</v>
      </c>
      <c r="M54" s="28">
        <v>1400</v>
      </c>
      <c r="N54" s="28">
        <v>0</v>
      </c>
      <c r="O54" s="28">
        <f>27*9.8</f>
        <v>264.60000000000002</v>
      </c>
      <c r="P54" s="28">
        <v>180</v>
      </c>
      <c r="Q54" s="28">
        <v>250</v>
      </c>
      <c r="R54" s="28" t="s">
        <v>759</v>
      </c>
      <c r="S54" s="8"/>
      <c r="T54" s="28">
        <v>19.100000000000001</v>
      </c>
      <c r="U54" s="28">
        <v>287</v>
      </c>
      <c r="V54" s="28">
        <f>3519*9.8/100</f>
        <v>344.86200000000002</v>
      </c>
      <c r="W54" s="28">
        <f>1860*9.8/100</f>
        <v>182.28</v>
      </c>
      <c r="AE54" s="28">
        <v>3</v>
      </c>
      <c r="AG54" s="28">
        <v>0</v>
      </c>
      <c r="AI54" s="28">
        <v>3</v>
      </c>
      <c r="AK54" s="28">
        <v>0</v>
      </c>
      <c r="AM54" s="8"/>
      <c r="AN54" s="28">
        <v>250</v>
      </c>
      <c r="AO54" s="28">
        <v>250</v>
      </c>
      <c r="AP54" s="28" t="s">
        <v>748</v>
      </c>
      <c r="AQ54" s="8"/>
      <c r="AR54" s="28">
        <v>15.9</v>
      </c>
      <c r="AS54" s="28">
        <v>199</v>
      </c>
      <c r="AT54" s="28">
        <f>3686*9.8/100</f>
        <v>361.22800000000001</v>
      </c>
      <c r="AU54" s="28">
        <f>1990*9.8/100</f>
        <v>195.02</v>
      </c>
      <c r="BK54" s="8"/>
      <c r="BL54" s="8"/>
      <c r="BN54" s="28" t="s">
        <v>760</v>
      </c>
      <c r="BO54" s="8"/>
      <c r="BP54" s="8"/>
      <c r="BS54" s="28">
        <f>3281*9.8/100</f>
        <v>321.53800000000001</v>
      </c>
      <c r="BT54" s="28">
        <f>2020*9.8/100</f>
        <v>197.96</v>
      </c>
      <c r="BU54" s="78">
        <v>0.83</v>
      </c>
    </row>
    <row r="55" spans="1:73" s="27" customFormat="1">
      <c r="A55" s="24">
        <v>50</v>
      </c>
      <c r="B55" s="1">
        <v>3</v>
      </c>
      <c r="H55" s="54" t="s">
        <v>758</v>
      </c>
      <c r="I55" s="27">
        <f>267*9.8/100</f>
        <v>26.166000000000004</v>
      </c>
      <c r="J55" s="27">
        <f>267*9.8/100</f>
        <v>26.166000000000004</v>
      </c>
      <c r="K55" s="27">
        <f>267*9.8/100</f>
        <v>26.166000000000004</v>
      </c>
      <c r="L55" s="28">
        <v>2000</v>
      </c>
      <c r="M55" s="28">
        <v>1400</v>
      </c>
      <c r="N55" s="27">
        <v>0</v>
      </c>
      <c r="O55" s="27">
        <f>27*9.8</f>
        <v>264.60000000000002</v>
      </c>
      <c r="P55" s="27">
        <v>180</v>
      </c>
      <c r="Q55" s="27">
        <v>250</v>
      </c>
      <c r="R55" s="27" t="s">
        <v>759</v>
      </c>
      <c r="S55" s="9"/>
      <c r="T55" s="27">
        <v>19.100000000000001</v>
      </c>
      <c r="U55" s="27">
        <v>287</v>
      </c>
      <c r="V55" s="28">
        <f>3519*9.8/100</f>
        <v>344.86200000000002</v>
      </c>
      <c r="W55" s="28">
        <f>1860*9.8/100</f>
        <v>182.28</v>
      </c>
      <c r="AE55" s="27">
        <v>2</v>
      </c>
      <c r="AG55" s="27">
        <v>0</v>
      </c>
      <c r="AI55" s="27">
        <v>2</v>
      </c>
      <c r="AK55" s="27">
        <v>0</v>
      </c>
      <c r="AM55" s="9"/>
      <c r="AN55" s="28">
        <v>250</v>
      </c>
      <c r="AO55" s="28">
        <v>250</v>
      </c>
      <c r="AP55" s="28" t="s">
        <v>748</v>
      </c>
      <c r="AQ55" s="9"/>
      <c r="AR55" s="27">
        <v>15.9</v>
      </c>
      <c r="AS55" s="27">
        <v>199</v>
      </c>
      <c r="AT55" s="28">
        <f>3686*9.8/100</f>
        <v>361.22800000000001</v>
      </c>
      <c r="AU55" s="28">
        <f>1990*9.8/100</f>
        <v>195.02</v>
      </c>
      <c r="BK55" s="9"/>
      <c r="BL55" s="9"/>
      <c r="BN55" s="27" t="s">
        <v>760</v>
      </c>
      <c r="BO55" s="9"/>
      <c r="BP55" s="9"/>
      <c r="BS55" s="28">
        <f>3281*9.8/100</f>
        <v>321.53800000000001</v>
      </c>
      <c r="BT55" s="28">
        <f>2020*9.8/100</f>
        <v>197.96</v>
      </c>
      <c r="BU55" s="79">
        <v>0.83</v>
      </c>
    </row>
    <row r="56" spans="1:73" s="24" customFormat="1">
      <c r="A56" s="24">
        <v>51</v>
      </c>
      <c r="B56" s="1">
        <v>3</v>
      </c>
      <c r="C56" s="24">
        <v>14</v>
      </c>
      <c r="D56" s="24" t="s">
        <v>35</v>
      </c>
      <c r="E56" s="24">
        <v>1988</v>
      </c>
      <c r="F56" s="24" t="s">
        <v>27</v>
      </c>
      <c r="H56" s="52" t="s">
        <v>761</v>
      </c>
      <c r="I56" s="24">
        <f t="shared" ref="I56:K58" si="31">250*9.8/100</f>
        <v>24.5</v>
      </c>
      <c r="J56" s="24">
        <f t="shared" si="31"/>
        <v>24.5</v>
      </c>
      <c r="K56" s="24">
        <f t="shared" si="31"/>
        <v>24.5</v>
      </c>
      <c r="L56" s="24">
        <v>2700</v>
      </c>
      <c r="M56" s="24">
        <v>1470</v>
      </c>
      <c r="N56" s="24">
        <v>0</v>
      </c>
      <c r="O56" s="24">
        <f>20*9.8/1000*30*30</f>
        <v>176.4</v>
      </c>
      <c r="P56" s="24">
        <v>200</v>
      </c>
      <c r="Q56" s="24">
        <v>300</v>
      </c>
      <c r="R56" s="24" t="s">
        <v>764</v>
      </c>
      <c r="S56" s="30"/>
      <c r="T56" s="24">
        <v>12.7</v>
      </c>
      <c r="U56" s="24">
        <v>163</v>
      </c>
      <c r="V56" s="24">
        <f>3780*9.8/100</f>
        <v>370.44</v>
      </c>
      <c r="W56" s="69">
        <v>205</v>
      </c>
      <c r="X56" s="24" t="s">
        <v>765</v>
      </c>
      <c r="Y56" s="24">
        <v>50</v>
      </c>
      <c r="Z56" s="24">
        <v>2</v>
      </c>
      <c r="AC56" s="24">
        <f>4980*9.8/100</f>
        <v>488.04</v>
      </c>
      <c r="AD56" s="69">
        <v>205</v>
      </c>
      <c r="AE56" s="24">
        <v>4</v>
      </c>
      <c r="AG56" s="24">
        <v>0</v>
      </c>
      <c r="AI56" s="24">
        <v>4</v>
      </c>
      <c r="AK56" s="24">
        <v>0</v>
      </c>
      <c r="AM56" s="30"/>
      <c r="AN56" s="24">
        <v>300</v>
      </c>
      <c r="AO56" s="24">
        <v>300</v>
      </c>
      <c r="AP56" s="24" t="s">
        <v>748</v>
      </c>
      <c r="AQ56" s="30"/>
      <c r="AR56" s="24">
        <v>15.9</v>
      </c>
      <c r="AS56" s="24">
        <v>199</v>
      </c>
      <c r="AT56" s="24">
        <f>3580*9.8/100</f>
        <v>350.84</v>
      </c>
      <c r="AU56" s="69">
        <v>205</v>
      </c>
      <c r="AV56" s="24" t="s">
        <v>765</v>
      </c>
      <c r="AW56" s="24">
        <v>50</v>
      </c>
      <c r="AX56" s="24">
        <v>4</v>
      </c>
      <c r="BA56" s="24">
        <f>4980*9.8/100</f>
        <v>488.04</v>
      </c>
      <c r="BB56" s="69">
        <v>205</v>
      </c>
      <c r="BC56" s="24">
        <v>4</v>
      </c>
      <c r="BE56" s="24">
        <v>4</v>
      </c>
      <c r="BG56" s="24">
        <v>4</v>
      </c>
      <c r="BI56" s="24">
        <v>4</v>
      </c>
      <c r="BK56" s="30"/>
      <c r="BL56" s="30"/>
      <c r="BN56" s="24" t="s">
        <v>765</v>
      </c>
      <c r="BO56" s="30"/>
      <c r="BP56" s="30"/>
      <c r="BQ56" s="24">
        <v>4</v>
      </c>
      <c r="BR56" s="24">
        <v>8</v>
      </c>
      <c r="BS56" s="24">
        <f>2400*9.8/100</f>
        <v>235.2</v>
      </c>
      <c r="BT56" s="69">
        <v>205</v>
      </c>
      <c r="BU56" s="25">
        <v>0.35</v>
      </c>
    </row>
    <row r="57" spans="1:73" s="24" customFormat="1">
      <c r="A57" s="24">
        <v>52</v>
      </c>
      <c r="B57" s="1">
        <v>3</v>
      </c>
      <c r="H57" s="52" t="s">
        <v>762</v>
      </c>
      <c r="I57" s="24">
        <f t="shared" si="31"/>
        <v>24.5</v>
      </c>
      <c r="J57" s="24">
        <f t="shared" si="31"/>
        <v>24.5</v>
      </c>
      <c r="K57" s="24">
        <f t="shared" si="31"/>
        <v>24.5</v>
      </c>
      <c r="L57" s="24">
        <v>2700</v>
      </c>
      <c r="M57" s="24">
        <v>1470</v>
      </c>
      <c r="N57" s="24">
        <v>0</v>
      </c>
      <c r="O57" s="24">
        <f>20*9.8/1000*30*30</f>
        <v>176.4</v>
      </c>
      <c r="P57" s="24">
        <v>200</v>
      </c>
      <c r="Q57" s="24">
        <v>300</v>
      </c>
      <c r="R57" s="24" t="s">
        <v>764</v>
      </c>
      <c r="S57" s="30"/>
      <c r="T57" s="24">
        <v>12.7</v>
      </c>
      <c r="U57" s="24">
        <v>163</v>
      </c>
      <c r="V57" s="24">
        <f>3780*9.8/100</f>
        <v>370.44</v>
      </c>
      <c r="W57" s="69">
        <v>205</v>
      </c>
      <c r="X57" s="24" t="s">
        <v>765</v>
      </c>
      <c r="Y57" s="24">
        <v>50</v>
      </c>
      <c r="Z57" s="24">
        <v>2</v>
      </c>
      <c r="AC57" s="24">
        <f>4980*9.8/100</f>
        <v>488.04</v>
      </c>
      <c r="AD57" s="69">
        <v>205</v>
      </c>
      <c r="AE57" s="24">
        <v>4</v>
      </c>
      <c r="AG57" s="24">
        <v>0</v>
      </c>
      <c r="AI57" s="24">
        <v>4</v>
      </c>
      <c r="AK57" s="24">
        <v>0</v>
      </c>
      <c r="AM57" s="30"/>
      <c r="AN57" s="24">
        <v>300</v>
      </c>
      <c r="AO57" s="24">
        <v>300</v>
      </c>
      <c r="AP57" s="24" t="s">
        <v>748</v>
      </c>
      <c r="AQ57" s="30"/>
      <c r="AR57" s="24">
        <v>15.9</v>
      </c>
      <c r="AS57" s="24">
        <v>199</v>
      </c>
      <c r="AT57" s="24">
        <f>3580*9.8/100</f>
        <v>350.84</v>
      </c>
      <c r="AU57" s="69">
        <v>205</v>
      </c>
      <c r="AV57" s="24" t="s">
        <v>765</v>
      </c>
      <c r="AW57" s="24">
        <v>50</v>
      </c>
      <c r="AX57" s="24">
        <v>4</v>
      </c>
      <c r="BA57" s="24">
        <f>4980*9.8/100</f>
        <v>488.04</v>
      </c>
      <c r="BB57" s="69">
        <v>205</v>
      </c>
      <c r="BC57" s="24">
        <v>4</v>
      </c>
      <c r="BE57" s="24">
        <v>4</v>
      </c>
      <c r="BG57" s="24">
        <v>4</v>
      </c>
      <c r="BI57" s="24">
        <v>4</v>
      </c>
      <c r="BK57" s="30"/>
      <c r="BL57" s="30"/>
      <c r="BN57" s="24" t="s">
        <v>765</v>
      </c>
      <c r="BO57" s="30"/>
      <c r="BP57" s="30"/>
      <c r="BQ57" s="24">
        <v>4</v>
      </c>
      <c r="BR57" s="24">
        <v>8</v>
      </c>
      <c r="BS57" s="24">
        <f>2400*9.8/100</f>
        <v>235.2</v>
      </c>
      <c r="BT57" s="69">
        <v>205</v>
      </c>
      <c r="BU57" s="25">
        <v>0.35</v>
      </c>
    </row>
    <row r="58" spans="1:73" s="27" customFormat="1">
      <c r="A58" s="24">
        <v>53</v>
      </c>
      <c r="B58" s="1">
        <v>3</v>
      </c>
      <c r="H58" s="54" t="s">
        <v>763</v>
      </c>
      <c r="I58" s="24">
        <f t="shared" si="31"/>
        <v>24.5</v>
      </c>
      <c r="J58" s="24">
        <f t="shared" si="31"/>
        <v>24.5</v>
      </c>
      <c r="K58" s="24">
        <f t="shared" si="31"/>
        <v>24.5</v>
      </c>
      <c r="L58" s="24">
        <v>2700</v>
      </c>
      <c r="M58" s="24">
        <v>1470</v>
      </c>
      <c r="N58" s="27">
        <v>0</v>
      </c>
      <c r="O58" s="24">
        <f>20*9.8/1000*30*30</f>
        <v>176.4</v>
      </c>
      <c r="P58" s="24">
        <v>200</v>
      </c>
      <c r="Q58" s="24">
        <v>300</v>
      </c>
      <c r="R58" s="27" t="s">
        <v>746</v>
      </c>
      <c r="S58" s="9"/>
      <c r="T58" s="27">
        <v>9.5299999999999994</v>
      </c>
      <c r="U58" s="27">
        <v>71.3</v>
      </c>
      <c r="V58" s="27">
        <f>3170*9.8/100</f>
        <v>310.66000000000003</v>
      </c>
      <c r="W58" s="70">
        <v>205</v>
      </c>
      <c r="X58" s="27" t="s">
        <v>765</v>
      </c>
      <c r="Y58" s="27">
        <v>50</v>
      </c>
      <c r="Z58" s="27">
        <v>2</v>
      </c>
      <c r="AC58" s="24">
        <f>4980*9.8/100</f>
        <v>488.04</v>
      </c>
      <c r="AD58" s="70">
        <v>205</v>
      </c>
      <c r="AE58" s="27">
        <v>6</v>
      </c>
      <c r="AG58" s="27">
        <v>0</v>
      </c>
      <c r="AI58" s="27">
        <v>6</v>
      </c>
      <c r="AK58" s="27">
        <v>0</v>
      </c>
      <c r="AM58" s="9"/>
      <c r="AN58" s="24">
        <v>300</v>
      </c>
      <c r="AO58" s="24">
        <v>300</v>
      </c>
      <c r="AP58" s="27" t="s">
        <v>764</v>
      </c>
      <c r="AQ58" s="9"/>
      <c r="AR58" s="27">
        <v>12.7</v>
      </c>
      <c r="AS58" s="27">
        <v>127</v>
      </c>
      <c r="AT58" s="27">
        <f>3780*9.8/100</f>
        <v>370.44</v>
      </c>
      <c r="AU58" s="70">
        <v>205</v>
      </c>
      <c r="AV58" s="27" t="s">
        <v>765</v>
      </c>
      <c r="AW58" s="27">
        <v>50</v>
      </c>
      <c r="AX58" s="27">
        <v>2</v>
      </c>
      <c r="BA58" s="24">
        <f>4980*9.8/100</f>
        <v>488.04</v>
      </c>
      <c r="BB58" s="70">
        <v>205</v>
      </c>
      <c r="BC58" s="27">
        <v>4</v>
      </c>
      <c r="BE58" s="27">
        <v>4</v>
      </c>
      <c r="BG58" s="27">
        <v>4</v>
      </c>
      <c r="BI58" s="27">
        <v>4</v>
      </c>
      <c r="BK58" s="9"/>
      <c r="BL58" s="9"/>
      <c r="BN58" s="27" t="s">
        <v>765</v>
      </c>
      <c r="BO58" s="9"/>
      <c r="BP58" s="9"/>
      <c r="BQ58" s="27">
        <v>7</v>
      </c>
      <c r="BR58" s="27">
        <v>21</v>
      </c>
      <c r="BS58" s="24">
        <f>2400*9.8/100</f>
        <v>235.2</v>
      </c>
      <c r="BT58" s="70">
        <v>205</v>
      </c>
      <c r="BU58" s="26">
        <v>0.88</v>
      </c>
    </row>
    <row r="59" spans="1:73">
      <c r="A59">
        <v>54</v>
      </c>
      <c r="B59" s="1">
        <v>1</v>
      </c>
      <c r="C59">
        <v>15</v>
      </c>
      <c r="D59" t="s">
        <v>35</v>
      </c>
      <c r="E59">
        <v>1989</v>
      </c>
      <c r="F59" t="s">
        <v>33</v>
      </c>
      <c r="G59" t="s">
        <v>441</v>
      </c>
      <c r="H59" s="7" t="s">
        <v>450</v>
      </c>
      <c r="I59">
        <f>312*9.8/100</f>
        <v>30.576000000000004</v>
      </c>
      <c r="J59">
        <f>312*9.8/100</f>
        <v>30.576000000000004</v>
      </c>
      <c r="K59">
        <f>312*9.8/100</f>
        <v>30.576000000000004</v>
      </c>
      <c r="L59" s="7">
        <v>2700</v>
      </c>
      <c r="M59" s="7">
        <v>1470</v>
      </c>
      <c r="N59" s="7">
        <v>0</v>
      </c>
      <c r="O59">
        <f>20*9.8*30*30/1000</f>
        <v>176.4</v>
      </c>
      <c r="P59" s="7">
        <v>200</v>
      </c>
      <c r="Q59" s="7">
        <v>300</v>
      </c>
      <c r="R59" s="7" t="s">
        <v>451</v>
      </c>
      <c r="S59" s="30" t="s">
        <v>452</v>
      </c>
      <c r="T59" s="7">
        <v>12.7</v>
      </c>
      <c r="U59" s="7">
        <v>127</v>
      </c>
      <c r="V59" s="1">
        <f>7950*9.8/100</f>
        <v>779.1</v>
      </c>
      <c r="W59" s="34">
        <v>205</v>
      </c>
      <c r="X59" s="7" t="s">
        <v>453</v>
      </c>
      <c r="Y59" s="7">
        <v>40</v>
      </c>
      <c r="Z59" s="7">
        <v>4</v>
      </c>
      <c r="AA59" s="7">
        <v>6.35</v>
      </c>
      <c r="AB59" s="7">
        <v>31.7</v>
      </c>
      <c r="AC59">
        <f>4300*9.8/100</f>
        <v>421.4</v>
      </c>
      <c r="AD59" s="16">
        <v>205</v>
      </c>
      <c r="AE59" s="7">
        <v>4</v>
      </c>
      <c r="AF59" s="7">
        <v>35</v>
      </c>
      <c r="AG59" s="7">
        <v>4</v>
      </c>
      <c r="AH59" s="7">
        <v>35</v>
      </c>
      <c r="AI59" s="7">
        <v>4</v>
      </c>
      <c r="AJ59" s="7">
        <v>35</v>
      </c>
      <c r="AK59" s="7">
        <v>0</v>
      </c>
      <c r="AL59" s="7">
        <v>0</v>
      </c>
      <c r="AN59" s="7">
        <v>300</v>
      </c>
      <c r="AO59" s="7">
        <v>300</v>
      </c>
      <c r="AP59" s="7" t="s">
        <v>449</v>
      </c>
      <c r="AR59" s="7">
        <v>15.9</v>
      </c>
      <c r="AS59" s="7">
        <v>199</v>
      </c>
      <c r="AT59">
        <f>5500*9.8/100</f>
        <v>539.00000000000011</v>
      </c>
      <c r="AU59" s="34">
        <v>205</v>
      </c>
      <c r="AV59" s="7" t="s">
        <v>454</v>
      </c>
      <c r="AW59" s="7">
        <v>40</v>
      </c>
      <c r="AX59" s="7">
        <v>4</v>
      </c>
      <c r="AY59" s="7">
        <v>6.35</v>
      </c>
      <c r="AZ59" s="7">
        <v>31.7</v>
      </c>
      <c r="BA59">
        <f>4300*9.8/100</f>
        <v>421.4</v>
      </c>
      <c r="BB59" s="16">
        <v>205</v>
      </c>
      <c r="BC59" s="7">
        <v>5</v>
      </c>
      <c r="BD59" s="7">
        <v>40</v>
      </c>
      <c r="BE59" s="7">
        <v>2</v>
      </c>
      <c r="BF59" s="7">
        <v>60</v>
      </c>
      <c r="BG59" s="7">
        <v>5</v>
      </c>
      <c r="BH59" s="7">
        <v>40</v>
      </c>
      <c r="BI59" s="7">
        <v>2</v>
      </c>
      <c r="BJ59" s="7">
        <v>60</v>
      </c>
      <c r="BL59" s="31">
        <v>2</v>
      </c>
      <c r="BM59" s="7" t="s">
        <v>444</v>
      </c>
      <c r="BN59" s="7" t="s">
        <v>631</v>
      </c>
      <c r="BO59" s="31"/>
      <c r="BP59" s="31">
        <v>28</v>
      </c>
      <c r="BQ59" s="7">
        <v>3</v>
      </c>
      <c r="BR59" s="7">
        <v>9</v>
      </c>
      <c r="BS59">
        <f>3260*9.8/100</f>
        <v>319.48</v>
      </c>
      <c r="BT59" s="34">
        <v>205</v>
      </c>
      <c r="BU59" s="48">
        <v>0.37</v>
      </c>
    </row>
    <row r="60" spans="1:73">
      <c r="A60">
        <v>55</v>
      </c>
      <c r="B60" s="1">
        <v>5</v>
      </c>
      <c r="C60" s="11">
        <v>16</v>
      </c>
      <c r="D60" t="s">
        <v>38</v>
      </c>
      <c r="E60">
        <v>1989</v>
      </c>
      <c r="F60" t="s">
        <v>33</v>
      </c>
      <c r="G60" t="s">
        <v>441</v>
      </c>
      <c r="H60" s="7" t="s">
        <v>455</v>
      </c>
      <c r="I60">
        <f>421*9.8/100</f>
        <v>41.258000000000003</v>
      </c>
      <c r="J60">
        <f>421*9.8/100</f>
        <v>41.258000000000003</v>
      </c>
      <c r="K60">
        <f>334*9.8/100</f>
        <v>32.731999999999999</v>
      </c>
      <c r="L60" s="35">
        <v>3000</v>
      </c>
      <c r="M60" s="7">
        <v>1750</v>
      </c>
      <c r="N60" s="7">
        <v>0</v>
      </c>
      <c r="O60">
        <f t="shared" ref="O60:O66" si="32">81*9.8</f>
        <v>793.80000000000007</v>
      </c>
      <c r="P60" s="7">
        <v>200</v>
      </c>
      <c r="Q60" s="7">
        <v>350</v>
      </c>
      <c r="R60" s="7" t="s">
        <v>461</v>
      </c>
      <c r="S60" s="30" t="s">
        <v>463</v>
      </c>
      <c r="T60" s="7">
        <v>25.4</v>
      </c>
      <c r="U60" s="7">
        <v>507</v>
      </c>
      <c r="V60" s="1">
        <f t="shared" ref="V60:V66" si="33">4340*9.8/100</f>
        <v>425.32</v>
      </c>
      <c r="W60" s="34">
        <v>205</v>
      </c>
      <c r="X60" s="7" t="s">
        <v>464</v>
      </c>
      <c r="Y60" s="7">
        <v>60</v>
      </c>
      <c r="Z60" s="7">
        <v>4</v>
      </c>
      <c r="AA60" s="7">
        <v>5</v>
      </c>
      <c r="AB60" s="7">
        <v>19.600000000000001</v>
      </c>
      <c r="AC60" s="16">
        <f t="shared" ref="AC60:AC66" si="34">3300*9.8/100</f>
        <v>323.40000000000003</v>
      </c>
      <c r="AD60" s="16">
        <f t="shared" ref="AD60:AD66" si="35">1980*9.8/100</f>
        <v>194.04</v>
      </c>
      <c r="AE60" s="7">
        <v>3</v>
      </c>
      <c r="AF60" s="7">
        <v>35</v>
      </c>
      <c r="AG60" s="7">
        <v>0</v>
      </c>
      <c r="AH60" s="7">
        <v>0</v>
      </c>
      <c r="AI60" s="7">
        <v>3</v>
      </c>
      <c r="AJ60" s="7">
        <v>35</v>
      </c>
      <c r="AK60" s="7">
        <v>0</v>
      </c>
      <c r="AL60" s="7">
        <v>0</v>
      </c>
      <c r="AN60" s="7">
        <v>300</v>
      </c>
      <c r="AO60" s="7">
        <v>300</v>
      </c>
      <c r="AP60" s="7" t="s">
        <v>447</v>
      </c>
      <c r="AQ60" s="30" t="s">
        <v>466</v>
      </c>
      <c r="AR60" s="7">
        <v>19.100000000000001</v>
      </c>
      <c r="AS60" s="7">
        <v>287</v>
      </c>
      <c r="AT60">
        <f t="shared" ref="AT60:AT66" si="36">5890*9.8/100</f>
        <v>577.22</v>
      </c>
      <c r="AU60" s="34">
        <v>205</v>
      </c>
      <c r="AV60" s="7" t="s">
        <v>465</v>
      </c>
      <c r="AW60" s="7">
        <v>34</v>
      </c>
      <c r="AX60" s="7">
        <v>4</v>
      </c>
      <c r="AY60" s="7">
        <v>5</v>
      </c>
      <c r="AZ60" s="7">
        <v>19.600000000000001</v>
      </c>
      <c r="BA60" s="16">
        <f t="shared" ref="BA60:BA66" si="37">3300*9.8/100</f>
        <v>323.40000000000003</v>
      </c>
      <c r="BB60" s="16">
        <f t="shared" ref="BB60:BB66" si="38">1980*9.8/100</f>
        <v>194.04</v>
      </c>
      <c r="BC60" s="7">
        <v>6</v>
      </c>
      <c r="BD60" s="34">
        <v>30</v>
      </c>
      <c r="BE60" s="7">
        <v>0</v>
      </c>
      <c r="BF60" s="7">
        <v>0</v>
      </c>
      <c r="BG60" s="7">
        <v>6</v>
      </c>
      <c r="BH60" s="34">
        <v>30</v>
      </c>
      <c r="BI60" s="7">
        <v>0</v>
      </c>
      <c r="BJ60" s="36">
        <v>0</v>
      </c>
      <c r="BL60" s="30">
        <v>0</v>
      </c>
      <c r="BM60" s="98" t="s">
        <v>950</v>
      </c>
      <c r="BN60" s="7" t="s">
        <v>632</v>
      </c>
      <c r="BO60" s="31"/>
      <c r="BP60" s="31">
        <v>28</v>
      </c>
      <c r="BQ60" s="97">
        <v>6</v>
      </c>
      <c r="BR60" s="97">
        <v>48</v>
      </c>
      <c r="BS60">
        <f>3890*9.8/100</f>
        <v>381.22</v>
      </c>
      <c r="BT60" s="34">
        <v>205</v>
      </c>
      <c r="BU60" s="48">
        <v>1.6</v>
      </c>
    </row>
    <row r="61" spans="1:73">
      <c r="A61">
        <v>56</v>
      </c>
      <c r="B61" s="1">
        <v>5</v>
      </c>
      <c r="G61" t="s">
        <v>446</v>
      </c>
      <c r="H61" s="56" t="s">
        <v>456</v>
      </c>
      <c r="I61">
        <f>416*9.8/100</f>
        <v>40.768000000000001</v>
      </c>
      <c r="J61">
        <f>416*9.8/100</f>
        <v>40.768000000000001</v>
      </c>
      <c r="K61">
        <f>320*9.8/100</f>
        <v>31.36</v>
      </c>
      <c r="L61" s="35">
        <v>3000</v>
      </c>
      <c r="M61" s="7">
        <v>1750</v>
      </c>
      <c r="N61" s="7">
        <v>0</v>
      </c>
      <c r="O61">
        <f t="shared" si="32"/>
        <v>793.80000000000007</v>
      </c>
      <c r="P61" s="7">
        <v>200</v>
      </c>
      <c r="Q61" s="7">
        <v>350</v>
      </c>
      <c r="R61" s="7" t="s">
        <v>461</v>
      </c>
      <c r="S61" s="30" t="s">
        <v>463</v>
      </c>
      <c r="T61" s="7">
        <v>25.4</v>
      </c>
      <c r="U61" s="7">
        <v>507</v>
      </c>
      <c r="V61" s="1">
        <f t="shared" si="33"/>
        <v>425.32</v>
      </c>
      <c r="W61" s="34">
        <v>205</v>
      </c>
      <c r="X61" s="7" t="s">
        <v>465</v>
      </c>
      <c r="Y61" s="7">
        <v>60</v>
      </c>
      <c r="Z61" s="7">
        <v>4</v>
      </c>
      <c r="AA61" s="7">
        <v>5</v>
      </c>
      <c r="AB61" s="7">
        <v>19.600000000000001</v>
      </c>
      <c r="AC61" s="16">
        <f t="shared" si="34"/>
        <v>323.40000000000003</v>
      </c>
      <c r="AD61" s="16">
        <f t="shared" si="35"/>
        <v>194.04</v>
      </c>
      <c r="AE61" s="7">
        <v>3</v>
      </c>
      <c r="AF61" s="7">
        <v>35</v>
      </c>
      <c r="AG61" s="7">
        <v>0</v>
      </c>
      <c r="AH61" s="7">
        <v>0</v>
      </c>
      <c r="AI61" s="7">
        <v>3</v>
      </c>
      <c r="AJ61" s="7">
        <v>35</v>
      </c>
      <c r="AK61" s="7">
        <v>0</v>
      </c>
      <c r="AL61" s="7">
        <v>0</v>
      </c>
      <c r="AN61" s="7">
        <v>300</v>
      </c>
      <c r="AO61" s="7">
        <v>300</v>
      </c>
      <c r="AP61" s="7" t="s">
        <v>448</v>
      </c>
      <c r="AQ61" s="30" t="s">
        <v>466</v>
      </c>
      <c r="AR61" s="7">
        <v>19.100000000000001</v>
      </c>
      <c r="AS61" s="7">
        <v>287</v>
      </c>
      <c r="AT61">
        <f t="shared" si="36"/>
        <v>577.22</v>
      </c>
      <c r="AU61" s="34">
        <v>205</v>
      </c>
      <c r="AV61" s="7" t="s">
        <v>467</v>
      </c>
      <c r="AW61" s="7">
        <v>34</v>
      </c>
      <c r="AX61" s="7">
        <v>4</v>
      </c>
      <c r="AY61" s="7">
        <v>5</v>
      </c>
      <c r="AZ61" s="7">
        <v>19.600000000000001</v>
      </c>
      <c r="BA61" s="16">
        <f t="shared" si="37"/>
        <v>323.40000000000003</v>
      </c>
      <c r="BB61" s="16">
        <f t="shared" si="38"/>
        <v>194.04</v>
      </c>
      <c r="BC61" s="7">
        <v>6</v>
      </c>
      <c r="BD61" s="34">
        <v>30</v>
      </c>
      <c r="BE61" s="7">
        <v>0</v>
      </c>
      <c r="BF61" s="7">
        <v>0</v>
      </c>
      <c r="BG61" s="7">
        <v>6</v>
      </c>
      <c r="BH61" s="34">
        <v>30</v>
      </c>
      <c r="BI61" s="7">
        <v>0</v>
      </c>
      <c r="BJ61" s="36">
        <v>0</v>
      </c>
      <c r="BL61" s="30">
        <v>0</v>
      </c>
      <c r="BM61" s="7" t="s">
        <v>444</v>
      </c>
      <c r="BN61" s="7" t="s">
        <v>633</v>
      </c>
      <c r="BO61" s="31"/>
      <c r="BP61" s="31"/>
      <c r="BQ61" s="16">
        <v>8</v>
      </c>
      <c r="BR61" s="16">
        <v>32</v>
      </c>
      <c r="BS61">
        <f>3890*9.8/100</f>
        <v>381.22</v>
      </c>
      <c r="BT61" s="34">
        <v>205</v>
      </c>
      <c r="BU61" s="48">
        <v>1.6</v>
      </c>
    </row>
    <row r="62" spans="1:73">
      <c r="A62">
        <v>57</v>
      </c>
      <c r="B62" s="1">
        <v>5</v>
      </c>
      <c r="G62" t="s">
        <v>441</v>
      </c>
      <c r="H62" s="7" t="s">
        <v>716</v>
      </c>
      <c r="I62">
        <f>456*9.8/100</f>
        <v>44.688000000000002</v>
      </c>
      <c r="J62">
        <f>456*9.8/100</f>
        <v>44.688000000000002</v>
      </c>
      <c r="K62">
        <f>321*9.8/100</f>
        <v>31.458000000000002</v>
      </c>
      <c r="L62" s="35">
        <v>3000</v>
      </c>
      <c r="M62" s="7">
        <v>1750</v>
      </c>
      <c r="N62" s="7">
        <v>0</v>
      </c>
      <c r="O62">
        <f t="shared" si="32"/>
        <v>793.80000000000007</v>
      </c>
      <c r="P62" s="7">
        <v>200</v>
      </c>
      <c r="Q62" s="7">
        <v>350</v>
      </c>
      <c r="R62" s="7" t="s">
        <v>213</v>
      </c>
      <c r="S62" s="30" t="s">
        <v>462</v>
      </c>
      <c r="T62" s="7">
        <v>25.4</v>
      </c>
      <c r="U62" s="7">
        <v>507</v>
      </c>
      <c r="V62" s="1">
        <f t="shared" si="33"/>
        <v>425.32</v>
      </c>
      <c r="W62" s="34">
        <v>205</v>
      </c>
      <c r="X62" s="7" t="s">
        <v>229</v>
      </c>
      <c r="Y62" s="7">
        <v>60</v>
      </c>
      <c r="Z62" s="7">
        <v>4</v>
      </c>
      <c r="AA62" s="7">
        <v>5</v>
      </c>
      <c r="AB62" s="7">
        <v>19.600000000000001</v>
      </c>
      <c r="AC62" s="16">
        <f t="shared" si="34"/>
        <v>323.40000000000003</v>
      </c>
      <c r="AD62" s="16">
        <f t="shared" si="35"/>
        <v>194.04</v>
      </c>
      <c r="AE62" s="7">
        <v>3</v>
      </c>
      <c r="AF62" s="7">
        <v>35</v>
      </c>
      <c r="AG62" s="7">
        <v>0</v>
      </c>
      <c r="AH62" s="7">
        <v>0</v>
      </c>
      <c r="AI62" s="7">
        <v>3</v>
      </c>
      <c r="AJ62" s="7">
        <v>35</v>
      </c>
      <c r="AK62" s="7">
        <v>0</v>
      </c>
      <c r="AL62" s="7">
        <v>0</v>
      </c>
      <c r="AN62" s="7">
        <v>300</v>
      </c>
      <c r="AO62" s="7">
        <v>300</v>
      </c>
      <c r="AP62" s="7" t="s">
        <v>57</v>
      </c>
      <c r="AQ62" s="30" t="s">
        <v>196</v>
      </c>
      <c r="AR62" s="7">
        <v>19.100000000000001</v>
      </c>
      <c r="AS62" s="7">
        <v>287</v>
      </c>
      <c r="AT62">
        <f t="shared" si="36"/>
        <v>577.22</v>
      </c>
      <c r="AU62" s="34">
        <v>205</v>
      </c>
      <c r="AV62" s="7" t="s">
        <v>229</v>
      </c>
      <c r="AW62" s="7">
        <v>34</v>
      </c>
      <c r="AX62" s="7">
        <v>4</v>
      </c>
      <c r="AY62" s="7">
        <v>5</v>
      </c>
      <c r="AZ62" s="7">
        <v>19.600000000000001</v>
      </c>
      <c r="BA62" s="16">
        <f t="shared" si="37"/>
        <v>323.40000000000003</v>
      </c>
      <c r="BB62" s="16">
        <f t="shared" si="38"/>
        <v>194.04</v>
      </c>
      <c r="BC62" s="7">
        <v>6</v>
      </c>
      <c r="BD62" s="34">
        <v>30</v>
      </c>
      <c r="BE62" s="7">
        <v>0</v>
      </c>
      <c r="BF62" s="7">
        <v>0</v>
      </c>
      <c r="BG62" s="7">
        <v>6</v>
      </c>
      <c r="BH62" s="34">
        <v>30</v>
      </c>
      <c r="BI62" s="7">
        <v>0</v>
      </c>
      <c r="BJ62" s="36">
        <v>0</v>
      </c>
      <c r="BL62" s="30">
        <v>0</v>
      </c>
      <c r="BM62" s="7" t="s">
        <v>444</v>
      </c>
      <c r="BN62" s="7" t="s">
        <v>632</v>
      </c>
      <c r="BO62" s="31"/>
      <c r="BP62" s="31">
        <v>28</v>
      </c>
      <c r="BQ62" s="16">
        <v>0</v>
      </c>
      <c r="BR62" s="16">
        <v>0</v>
      </c>
      <c r="BS62">
        <v>0</v>
      </c>
      <c r="BT62" s="34">
        <v>0</v>
      </c>
      <c r="BU62" s="48">
        <v>0</v>
      </c>
    </row>
    <row r="63" spans="1:73">
      <c r="A63">
        <v>58</v>
      </c>
      <c r="B63" s="1">
        <v>5</v>
      </c>
      <c r="G63" t="s">
        <v>441</v>
      </c>
      <c r="H63" s="56" t="s">
        <v>457</v>
      </c>
      <c r="I63">
        <f>397*9.8/100</f>
        <v>38.906000000000006</v>
      </c>
      <c r="J63">
        <f>397*9.8/100</f>
        <v>38.906000000000006</v>
      </c>
      <c r="K63">
        <f>330*9.8/100</f>
        <v>32.340000000000003</v>
      </c>
      <c r="L63" s="35">
        <v>3000</v>
      </c>
      <c r="M63" s="7">
        <v>1750</v>
      </c>
      <c r="N63" s="7">
        <v>0</v>
      </c>
      <c r="O63">
        <f t="shared" si="32"/>
        <v>793.80000000000007</v>
      </c>
      <c r="P63" s="7">
        <v>200</v>
      </c>
      <c r="Q63" s="7">
        <v>350</v>
      </c>
      <c r="R63" s="7" t="s">
        <v>213</v>
      </c>
      <c r="S63" s="30" t="s">
        <v>462</v>
      </c>
      <c r="T63" s="7">
        <v>25.4</v>
      </c>
      <c r="U63" s="7">
        <v>507</v>
      </c>
      <c r="V63" s="1">
        <f t="shared" si="33"/>
        <v>425.32</v>
      </c>
      <c r="W63" s="34">
        <v>205</v>
      </c>
      <c r="X63" s="7" t="s">
        <v>229</v>
      </c>
      <c r="Y63" s="7">
        <v>60</v>
      </c>
      <c r="Z63" s="7">
        <v>4</v>
      </c>
      <c r="AA63" s="7">
        <v>5</v>
      </c>
      <c r="AB63" s="7">
        <v>19.600000000000001</v>
      </c>
      <c r="AC63" s="16">
        <f t="shared" si="34"/>
        <v>323.40000000000003</v>
      </c>
      <c r="AD63" s="16">
        <f t="shared" si="35"/>
        <v>194.04</v>
      </c>
      <c r="AE63" s="7">
        <v>3</v>
      </c>
      <c r="AF63" s="7">
        <v>35</v>
      </c>
      <c r="AG63" s="7">
        <v>0</v>
      </c>
      <c r="AH63" s="7">
        <v>0</v>
      </c>
      <c r="AI63" s="7">
        <v>3</v>
      </c>
      <c r="AJ63" s="7">
        <v>35</v>
      </c>
      <c r="AK63" s="7">
        <v>0</v>
      </c>
      <c r="AL63" s="7">
        <v>0</v>
      </c>
      <c r="AN63" s="7">
        <v>300</v>
      </c>
      <c r="AO63" s="7">
        <v>300</v>
      </c>
      <c r="AP63" s="7" t="s">
        <v>57</v>
      </c>
      <c r="AQ63" s="30" t="s">
        <v>196</v>
      </c>
      <c r="AR63" s="7">
        <v>19.100000000000001</v>
      </c>
      <c r="AS63" s="7">
        <v>287</v>
      </c>
      <c r="AT63">
        <f t="shared" si="36"/>
        <v>577.22</v>
      </c>
      <c r="AU63" s="34">
        <v>205</v>
      </c>
      <c r="AV63" s="7" t="s">
        <v>229</v>
      </c>
      <c r="AW63" s="7">
        <v>34</v>
      </c>
      <c r="AX63" s="7">
        <v>4</v>
      </c>
      <c r="AY63" s="7">
        <v>5</v>
      </c>
      <c r="AZ63" s="7">
        <v>19.600000000000001</v>
      </c>
      <c r="BA63" s="16">
        <f t="shared" si="37"/>
        <v>323.40000000000003</v>
      </c>
      <c r="BB63" s="16">
        <f t="shared" si="38"/>
        <v>194.04</v>
      </c>
      <c r="BC63" s="7">
        <v>6</v>
      </c>
      <c r="BD63" s="34">
        <v>30</v>
      </c>
      <c r="BE63" s="7">
        <v>0</v>
      </c>
      <c r="BF63" s="7">
        <v>0</v>
      </c>
      <c r="BG63" s="7">
        <v>6</v>
      </c>
      <c r="BH63" s="34">
        <v>30</v>
      </c>
      <c r="BI63" s="7">
        <v>0</v>
      </c>
      <c r="BJ63" s="36">
        <v>0</v>
      </c>
      <c r="BL63" s="30">
        <v>0</v>
      </c>
      <c r="BM63" s="7" t="s">
        <v>444</v>
      </c>
      <c r="BN63" s="7" t="s">
        <v>634</v>
      </c>
      <c r="BO63" s="31"/>
      <c r="BP63" s="31"/>
      <c r="BQ63" s="16">
        <v>2</v>
      </c>
      <c r="BR63" s="16">
        <v>4</v>
      </c>
      <c r="BS63">
        <f>3670*9.8/100</f>
        <v>359.66</v>
      </c>
      <c r="BT63" s="34">
        <v>205</v>
      </c>
      <c r="BU63" s="48">
        <v>0.8</v>
      </c>
    </row>
    <row r="64" spans="1:73">
      <c r="A64">
        <v>59</v>
      </c>
      <c r="B64" s="1">
        <v>5</v>
      </c>
      <c r="G64" t="s">
        <v>441</v>
      </c>
      <c r="H64" s="56" t="s">
        <v>458</v>
      </c>
      <c r="I64">
        <f>402*9.8/100</f>
        <v>39.396000000000001</v>
      </c>
      <c r="J64">
        <f>402*9.8/100</f>
        <v>39.396000000000001</v>
      </c>
      <c r="K64">
        <f>333*9.8/100</f>
        <v>32.634</v>
      </c>
      <c r="L64" s="35">
        <v>3000</v>
      </c>
      <c r="M64" s="7">
        <v>1750</v>
      </c>
      <c r="N64" s="7">
        <v>0</v>
      </c>
      <c r="O64">
        <f t="shared" si="32"/>
        <v>793.80000000000007</v>
      </c>
      <c r="P64" s="7">
        <v>200</v>
      </c>
      <c r="Q64" s="7">
        <v>350</v>
      </c>
      <c r="R64" s="7" t="s">
        <v>213</v>
      </c>
      <c r="S64" s="30" t="s">
        <v>462</v>
      </c>
      <c r="T64" s="7">
        <v>25.4</v>
      </c>
      <c r="U64" s="7">
        <v>507</v>
      </c>
      <c r="V64" s="1">
        <f t="shared" si="33"/>
        <v>425.32</v>
      </c>
      <c r="W64" s="34">
        <v>205</v>
      </c>
      <c r="X64" s="7" t="s">
        <v>229</v>
      </c>
      <c r="Y64" s="7">
        <v>60</v>
      </c>
      <c r="Z64" s="7">
        <v>4</v>
      </c>
      <c r="AA64" s="7">
        <v>5</v>
      </c>
      <c r="AB64" s="7">
        <v>19.600000000000001</v>
      </c>
      <c r="AC64" s="16">
        <f t="shared" si="34"/>
        <v>323.40000000000003</v>
      </c>
      <c r="AD64" s="16">
        <f t="shared" si="35"/>
        <v>194.04</v>
      </c>
      <c r="AE64" s="7">
        <v>3</v>
      </c>
      <c r="AF64" s="7">
        <v>35</v>
      </c>
      <c r="AG64" s="7">
        <v>0</v>
      </c>
      <c r="AH64" s="7">
        <v>0</v>
      </c>
      <c r="AI64" s="7">
        <v>3</v>
      </c>
      <c r="AJ64" s="7">
        <v>35</v>
      </c>
      <c r="AK64" s="7">
        <v>0</v>
      </c>
      <c r="AL64" s="7">
        <v>0</v>
      </c>
      <c r="AN64" s="7">
        <v>300</v>
      </c>
      <c r="AO64" s="7">
        <v>300</v>
      </c>
      <c r="AP64" s="7" t="s">
        <v>57</v>
      </c>
      <c r="AQ64" s="30" t="s">
        <v>196</v>
      </c>
      <c r="AR64" s="7">
        <v>19.100000000000001</v>
      </c>
      <c r="AS64" s="7">
        <v>287</v>
      </c>
      <c r="AT64">
        <f t="shared" si="36"/>
        <v>577.22</v>
      </c>
      <c r="AU64" s="34">
        <v>205</v>
      </c>
      <c r="AV64" s="7" t="s">
        <v>229</v>
      </c>
      <c r="AW64" s="7">
        <v>34</v>
      </c>
      <c r="AX64" s="7">
        <v>4</v>
      </c>
      <c r="AY64" s="7">
        <v>5</v>
      </c>
      <c r="AZ64" s="7">
        <v>19.600000000000001</v>
      </c>
      <c r="BA64" s="16">
        <f t="shared" si="37"/>
        <v>323.40000000000003</v>
      </c>
      <c r="BB64" s="16">
        <f t="shared" si="38"/>
        <v>194.04</v>
      </c>
      <c r="BC64" s="7">
        <v>6</v>
      </c>
      <c r="BD64" s="34">
        <v>30</v>
      </c>
      <c r="BE64" s="7">
        <v>0</v>
      </c>
      <c r="BF64" s="7">
        <v>0</v>
      </c>
      <c r="BG64" s="7">
        <v>6</v>
      </c>
      <c r="BH64" s="34">
        <v>30</v>
      </c>
      <c r="BI64" s="7">
        <v>0</v>
      </c>
      <c r="BJ64" s="36">
        <v>0</v>
      </c>
      <c r="BL64" s="30">
        <v>0</v>
      </c>
      <c r="BM64" s="7" t="s">
        <v>444</v>
      </c>
      <c r="BN64" s="7" t="s">
        <v>633</v>
      </c>
      <c r="BO64" s="31"/>
      <c r="BP64" s="31"/>
      <c r="BQ64" s="16">
        <v>6</v>
      </c>
      <c r="BR64" s="16">
        <v>24</v>
      </c>
      <c r="BS64">
        <f>3890*9.8/100</f>
        <v>381.22</v>
      </c>
      <c r="BT64" s="34">
        <v>205</v>
      </c>
      <c r="BU64" s="48">
        <v>0.8</v>
      </c>
    </row>
    <row r="65" spans="1:73">
      <c r="A65">
        <v>60</v>
      </c>
      <c r="B65" s="1">
        <v>5</v>
      </c>
      <c r="G65" t="s">
        <v>441</v>
      </c>
      <c r="H65" s="7" t="s">
        <v>459</v>
      </c>
      <c r="I65">
        <f>429*9.8/100</f>
        <v>42.042000000000009</v>
      </c>
      <c r="J65">
        <f>429*9.8/100</f>
        <v>42.042000000000009</v>
      </c>
      <c r="K65">
        <f>323*9.8/100</f>
        <v>31.654</v>
      </c>
      <c r="L65" s="35">
        <v>3000</v>
      </c>
      <c r="M65" s="7">
        <v>1750</v>
      </c>
      <c r="N65" s="7">
        <v>0</v>
      </c>
      <c r="O65">
        <f t="shared" si="32"/>
        <v>793.80000000000007</v>
      </c>
      <c r="P65" s="7">
        <v>200</v>
      </c>
      <c r="Q65" s="7">
        <v>350</v>
      </c>
      <c r="R65" s="7" t="s">
        <v>213</v>
      </c>
      <c r="S65" s="30" t="s">
        <v>462</v>
      </c>
      <c r="T65" s="7">
        <v>25.4</v>
      </c>
      <c r="U65" s="7">
        <v>507</v>
      </c>
      <c r="V65" s="1">
        <f t="shared" si="33"/>
        <v>425.32</v>
      </c>
      <c r="W65" s="34">
        <v>205</v>
      </c>
      <c r="X65" s="7" t="s">
        <v>229</v>
      </c>
      <c r="Y65" s="7">
        <v>60</v>
      </c>
      <c r="Z65" s="7">
        <v>4</v>
      </c>
      <c r="AA65" s="7">
        <v>5</v>
      </c>
      <c r="AB65" s="7">
        <v>19.600000000000001</v>
      </c>
      <c r="AC65" s="16">
        <f t="shared" si="34"/>
        <v>323.40000000000003</v>
      </c>
      <c r="AD65" s="16">
        <f t="shared" si="35"/>
        <v>194.04</v>
      </c>
      <c r="AE65" s="7">
        <v>3</v>
      </c>
      <c r="AF65" s="7">
        <v>35</v>
      </c>
      <c r="AG65" s="7">
        <v>0</v>
      </c>
      <c r="AH65" s="7">
        <v>0</v>
      </c>
      <c r="AI65" s="7">
        <v>3</v>
      </c>
      <c r="AJ65" s="7">
        <v>35</v>
      </c>
      <c r="AK65" s="7">
        <v>0</v>
      </c>
      <c r="AL65" s="7">
        <v>0</v>
      </c>
      <c r="AN65" s="7">
        <v>300</v>
      </c>
      <c r="AO65" s="7">
        <v>300</v>
      </c>
      <c r="AP65" s="7" t="s">
        <v>57</v>
      </c>
      <c r="AQ65" s="30" t="s">
        <v>196</v>
      </c>
      <c r="AR65" s="7">
        <v>19.100000000000001</v>
      </c>
      <c r="AS65" s="7">
        <v>287</v>
      </c>
      <c r="AT65">
        <f t="shared" si="36"/>
        <v>577.22</v>
      </c>
      <c r="AU65" s="34">
        <v>205</v>
      </c>
      <c r="AV65" s="7" t="s">
        <v>229</v>
      </c>
      <c r="AW65" s="7">
        <v>34</v>
      </c>
      <c r="AX65" s="7">
        <v>4</v>
      </c>
      <c r="AY65" s="7">
        <v>5</v>
      </c>
      <c r="AZ65" s="7">
        <v>19.600000000000001</v>
      </c>
      <c r="BA65" s="16">
        <f t="shared" si="37"/>
        <v>323.40000000000003</v>
      </c>
      <c r="BB65" s="16">
        <f t="shared" si="38"/>
        <v>194.04</v>
      </c>
      <c r="BC65" s="7">
        <v>6</v>
      </c>
      <c r="BD65" s="34">
        <v>30</v>
      </c>
      <c r="BE65" s="7">
        <v>0</v>
      </c>
      <c r="BF65" s="7">
        <v>0</v>
      </c>
      <c r="BG65" s="7">
        <v>6</v>
      </c>
      <c r="BH65" s="34">
        <v>30</v>
      </c>
      <c r="BI65" s="7">
        <v>0</v>
      </c>
      <c r="BJ65" s="36">
        <v>0</v>
      </c>
      <c r="BL65" s="30">
        <v>0</v>
      </c>
      <c r="BM65" s="7" t="s">
        <v>444</v>
      </c>
      <c r="BN65" s="7" t="s">
        <v>633</v>
      </c>
      <c r="BO65" s="31"/>
      <c r="BP65" s="31">
        <v>7.1</v>
      </c>
      <c r="BQ65" s="16">
        <v>6</v>
      </c>
      <c r="BR65" s="16">
        <v>24</v>
      </c>
      <c r="BS65">
        <f>3670*9.8/100</f>
        <v>359.66</v>
      </c>
      <c r="BT65" s="34">
        <v>205</v>
      </c>
      <c r="BU65" s="48">
        <v>0.03</v>
      </c>
    </row>
    <row r="66" spans="1:73">
      <c r="A66">
        <v>61</v>
      </c>
      <c r="B66" s="1">
        <v>5</v>
      </c>
      <c r="G66" t="s">
        <v>441</v>
      </c>
      <c r="H66" s="56" t="s">
        <v>460</v>
      </c>
      <c r="I66">
        <f>430*9.8/100</f>
        <v>42.14</v>
      </c>
      <c r="J66">
        <f>430*9.8/100</f>
        <v>42.14</v>
      </c>
      <c r="K66">
        <f>333*9.8/100</f>
        <v>32.634</v>
      </c>
      <c r="L66" s="35">
        <v>3000</v>
      </c>
      <c r="M66" s="7">
        <v>1750</v>
      </c>
      <c r="N66" s="7">
        <v>0</v>
      </c>
      <c r="O66">
        <f t="shared" si="32"/>
        <v>793.80000000000007</v>
      </c>
      <c r="P66" s="7">
        <v>200</v>
      </c>
      <c r="Q66" s="7">
        <v>350</v>
      </c>
      <c r="R66" s="7" t="s">
        <v>213</v>
      </c>
      <c r="S66" s="30" t="s">
        <v>462</v>
      </c>
      <c r="T66" s="7">
        <v>25.4</v>
      </c>
      <c r="U66" s="7">
        <v>507</v>
      </c>
      <c r="V66" s="1">
        <f t="shared" si="33"/>
        <v>425.32</v>
      </c>
      <c r="W66" s="34">
        <v>205</v>
      </c>
      <c r="X66" s="7" t="s">
        <v>229</v>
      </c>
      <c r="Y66" s="7">
        <v>60</v>
      </c>
      <c r="Z66" s="7">
        <v>4</v>
      </c>
      <c r="AA66" s="7">
        <v>5</v>
      </c>
      <c r="AB66" s="7">
        <v>19.600000000000001</v>
      </c>
      <c r="AC66" s="16">
        <f t="shared" si="34"/>
        <v>323.40000000000003</v>
      </c>
      <c r="AD66" s="16">
        <f t="shared" si="35"/>
        <v>194.04</v>
      </c>
      <c r="AE66" s="7">
        <v>3</v>
      </c>
      <c r="AF66" s="7">
        <v>35</v>
      </c>
      <c r="AG66" s="7">
        <v>0</v>
      </c>
      <c r="AH66" s="7">
        <v>0</v>
      </c>
      <c r="AI66" s="7">
        <v>3</v>
      </c>
      <c r="AJ66" s="7">
        <v>35</v>
      </c>
      <c r="AK66" s="7">
        <v>0</v>
      </c>
      <c r="AL66" s="7">
        <v>0</v>
      </c>
      <c r="AN66">
        <v>200</v>
      </c>
      <c r="AO66">
        <v>450</v>
      </c>
      <c r="AP66" s="7" t="s">
        <v>57</v>
      </c>
      <c r="AQ66" s="30" t="s">
        <v>196</v>
      </c>
      <c r="AR66" s="7">
        <v>19.100000000000001</v>
      </c>
      <c r="AS66" s="7">
        <v>287</v>
      </c>
      <c r="AT66">
        <f t="shared" si="36"/>
        <v>577.22</v>
      </c>
      <c r="AU66" s="34">
        <v>205</v>
      </c>
      <c r="AV66" s="7" t="s">
        <v>229</v>
      </c>
      <c r="AW66" s="7">
        <v>34</v>
      </c>
      <c r="AX66" s="7">
        <v>4</v>
      </c>
      <c r="AY66" s="7">
        <v>5</v>
      </c>
      <c r="AZ66" s="7">
        <v>19.600000000000001</v>
      </c>
      <c r="BA66" s="16">
        <f t="shared" si="37"/>
        <v>323.40000000000003</v>
      </c>
      <c r="BB66" s="16">
        <f t="shared" si="38"/>
        <v>194.04</v>
      </c>
      <c r="BC66" s="7">
        <v>8</v>
      </c>
      <c r="BD66" s="34">
        <v>30</v>
      </c>
      <c r="BE66" s="36">
        <v>0</v>
      </c>
      <c r="BF66" s="36">
        <v>0</v>
      </c>
      <c r="BG66" s="36">
        <v>8</v>
      </c>
      <c r="BH66" s="34">
        <v>30</v>
      </c>
      <c r="BI66" s="36">
        <v>0</v>
      </c>
      <c r="BJ66" s="36">
        <v>0</v>
      </c>
      <c r="BL66" s="30">
        <v>0</v>
      </c>
      <c r="BM66" s="7" t="s">
        <v>444</v>
      </c>
      <c r="BN66" s="7" t="s">
        <v>634</v>
      </c>
      <c r="BO66" s="31"/>
      <c r="BP66" s="31"/>
      <c r="BQ66" s="16">
        <v>2</v>
      </c>
      <c r="BR66" s="16">
        <v>4</v>
      </c>
      <c r="BS66">
        <f>3670*9.8/100</f>
        <v>359.66</v>
      </c>
      <c r="BT66" s="34">
        <v>205</v>
      </c>
      <c r="BU66" s="48">
        <v>0.02</v>
      </c>
    </row>
    <row r="67" spans="1:73">
      <c r="A67">
        <v>62</v>
      </c>
      <c r="B67" s="1">
        <v>3</v>
      </c>
      <c r="C67" s="11">
        <v>17</v>
      </c>
      <c r="D67" t="s">
        <v>42</v>
      </c>
      <c r="E67">
        <v>1990</v>
      </c>
      <c r="F67" t="s">
        <v>43</v>
      </c>
      <c r="G67" s="2" t="s">
        <v>651</v>
      </c>
      <c r="H67" s="7" t="s">
        <v>623</v>
      </c>
      <c r="I67" s="1">
        <f t="shared" ref="I67:K72" si="39">296*9.8/100</f>
        <v>29.008000000000003</v>
      </c>
      <c r="J67" s="1">
        <f t="shared" si="39"/>
        <v>29.008000000000003</v>
      </c>
      <c r="K67" s="1">
        <f t="shared" si="39"/>
        <v>29.008000000000003</v>
      </c>
      <c r="L67" s="7">
        <v>2700</v>
      </c>
      <c r="M67" s="7">
        <v>1470</v>
      </c>
      <c r="N67" s="7">
        <v>0</v>
      </c>
      <c r="O67">
        <f t="shared" ref="O67:O72" si="40">18*9.8</f>
        <v>176.4</v>
      </c>
      <c r="P67" s="7">
        <v>200</v>
      </c>
      <c r="Q67" s="7">
        <v>300</v>
      </c>
      <c r="R67" s="7" t="s">
        <v>639</v>
      </c>
      <c r="S67" s="30" t="s">
        <v>643</v>
      </c>
      <c r="T67" s="7">
        <v>9.5299999999999994</v>
      </c>
      <c r="U67" s="7">
        <v>71.3</v>
      </c>
      <c r="V67" s="1">
        <f>3320*9.8/100</f>
        <v>325.36</v>
      </c>
      <c r="W67" s="1">
        <f>1870*9.8/100</f>
        <v>183.26</v>
      </c>
      <c r="X67" s="2"/>
      <c r="Y67" s="2"/>
      <c r="Z67" s="2"/>
      <c r="AA67" s="2"/>
      <c r="AB67" s="2"/>
      <c r="AC67" s="2"/>
      <c r="AD67" s="2"/>
      <c r="AE67" s="37">
        <v>4</v>
      </c>
      <c r="AF67" s="22">
        <v>30</v>
      </c>
      <c r="AG67" s="37">
        <v>4</v>
      </c>
      <c r="AH67" s="22">
        <f>2.5*10</f>
        <v>25</v>
      </c>
      <c r="AI67" s="37">
        <v>4</v>
      </c>
      <c r="AJ67" s="22">
        <v>30</v>
      </c>
      <c r="AK67" s="37">
        <v>0</v>
      </c>
      <c r="AL67" s="22">
        <v>0</v>
      </c>
      <c r="AN67" s="29">
        <v>300</v>
      </c>
      <c r="AO67" s="29">
        <v>300</v>
      </c>
      <c r="AP67" s="7" t="s">
        <v>642</v>
      </c>
      <c r="AQ67" s="30" t="s">
        <v>648</v>
      </c>
      <c r="AR67" s="7">
        <v>12.7</v>
      </c>
      <c r="AS67" s="7">
        <v>127</v>
      </c>
      <c r="AT67">
        <f>3650*9.8/100</f>
        <v>357.7</v>
      </c>
      <c r="AU67">
        <f>1870*9.8/100</f>
        <v>183.26</v>
      </c>
      <c r="AV67" s="2"/>
      <c r="AW67" s="2"/>
      <c r="AX67" s="2"/>
      <c r="AY67" s="2"/>
      <c r="AZ67" s="2"/>
      <c r="BA67" s="2"/>
      <c r="BB67" s="2"/>
      <c r="BC67" s="22">
        <v>6</v>
      </c>
      <c r="BD67" s="22">
        <v>30</v>
      </c>
      <c r="BE67" s="22">
        <v>2</v>
      </c>
      <c r="BF67" s="22">
        <f>2.5*13</f>
        <v>32.5</v>
      </c>
      <c r="BG67" s="22">
        <v>6</v>
      </c>
      <c r="BH67" s="22">
        <v>30</v>
      </c>
      <c r="BI67" s="22">
        <v>2</v>
      </c>
      <c r="BJ67" s="22">
        <f>2.5*13</f>
        <v>32.5</v>
      </c>
      <c r="BK67" s="33"/>
      <c r="BL67" s="33">
        <v>2</v>
      </c>
      <c r="BM67" s="7"/>
      <c r="BN67" s="7" t="s">
        <v>641</v>
      </c>
      <c r="BO67" s="31"/>
      <c r="BP67" s="31"/>
      <c r="BQ67" s="38">
        <v>3</v>
      </c>
      <c r="BR67" s="38">
        <v>6</v>
      </c>
      <c r="BS67">
        <f t="shared" ref="BS67:BS72" si="41">3710*9.8/100</f>
        <v>363.58</v>
      </c>
      <c r="BT67">
        <f t="shared" ref="BT67:BT72" si="42">1830*9.8/100</f>
        <v>179.34</v>
      </c>
      <c r="BU67" s="23">
        <v>0.64</v>
      </c>
    </row>
    <row r="68" spans="1:73">
      <c r="A68">
        <v>63</v>
      </c>
      <c r="B68" s="1">
        <v>3</v>
      </c>
      <c r="G68" s="2" t="s">
        <v>651</v>
      </c>
      <c r="H68" s="7" t="s">
        <v>624</v>
      </c>
      <c r="I68" s="1">
        <f t="shared" si="39"/>
        <v>29.008000000000003</v>
      </c>
      <c r="J68" s="1">
        <f t="shared" si="39"/>
        <v>29.008000000000003</v>
      </c>
      <c r="K68" s="1">
        <f t="shared" si="39"/>
        <v>29.008000000000003</v>
      </c>
      <c r="L68" s="7">
        <v>2700</v>
      </c>
      <c r="M68" s="7">
        <v>1470</v>
      </c>
      <c r="N68" s="7">
        <v>0</v>
      </c>
      <c r="O68">
        <f t="shared" si="40"/>
        <v>176.4</v>
      </c>
      <c r="P68" s="7">
        <v>200</v>
      </c>
      <c r="Q68" s="7">
        <v>300</v>
      </c>
      <c r="R68" s="7" t="s">
        <v>640</v>
      </c>
      <c r="S68" s="30" t="s">
        <v>644</v>
      </c>
      <c r="T68" s="7">
        <v>12.7</v>
      </c>
      <c r="U68" s="7">
        <v>127</v>
      </c>
      <c r="V68" s="1">
        <f>4070*9.8/100</f>
        <v>398.86</v>
      </c>
      <c r="W68" s="1">
        <f>1890*9.8/100</f>
        <v>185.22</v>
      </c>
      <c r="X68" s="2"/>
      <c r="Y68" s="2"/>
      <c r="Z68" s="2"/>
      <c r="AA68" s="2"/>
      <c r="AB68" s="2"/>
      <c r="AC68" s="2"/>
      <c r="AD68" s="2"/>
      <c r="AE68" s="37">
        <v>3</v>
      </c>
      <c r="AF68" s="22">
        <v>30</v>
      </c>
      <c r="AG68" s="37">
        <v>0</v>
      </c>
      <c r="AH68" s="22">
        <v>0</v>
      </c>
      <c r="AI68" s="37">
        <v>2</v>
      </c>
      <c r="AJ68" s="22">
        <v>30</v>
      </c>
      <c r="AK68" s="37">
        <v>0</v>
      </c>
      <c r="AL68" s="22">
        <v>0</v>
      </c>
      <c r="AN68" s="29">
        <v>300</v>
      </c>
      <c r="AO68" s="29">
        <v>300</v>
      </c>
      <c r="AP68" s="7" t="s">
        <v>640</v>
      </c>
      <c r="AQ68" s="30" t="s">
        <v>648</v>
      </c>
      <c r="AR68" s="7">
        <v>12.7</v>
      </c>
      <c r="AS68" s="7">
        <v>127</v>
      </c>
      <c r="AT68">
        <f>3650*9.8/100</f>
        <v>357.7</v>
      </c>
      <c r="AU68">
        <f>1870*9.8/100</f>
        <v>183.26</v>
      </c>
      <c r="AV68" s="2"/>
      <c r="AW68" s="2"/>
      <c r="AX68" s="2"/>
      <c r="AY68" s="2"/>
      <c r="AZ68" s="2"/>
      <c r="BA68" s="2"/>
      <c r="BB68" s="2"/>
      <c r="BC68" s="22">
        <v>6</v>
      </c>
      <c r="BD68" s="22">
        <v>30</v>
      </c>
      <c r="BE68" s="22">
        <v>2</v>
      </c>
      <c r="BF68" s="22">
        <f>2.5*13</f>
        <v>32.5</v>
      </c>
      <c r="BG68" s="22">
        <v>6</v>
      </c>
      <c r="BH68" s="22">
        <v>30</v>
      </c>
      <c r="BI68" s="22">
        <v>2</v>
      </c>
      <c r="BJ68" s="22">
        <f>2.5*13</f>
        <v>32.5</v>
      </c>
      <c r="BK68" s="33"/>
      <c r="BL68" s="33">
        <v>2</v>
      </c>
      <c r="BN68" s="7" t="s">
        <v>641</v>
      </c>
      <c r="BQ68" s="38">
        <v>3</v>
      </c>
      <c r="BR68" s="38">
        <v>6</v>
      </c>
      <c r="BS68">
        <f t="shared" si="41"/>
        <v>363.58</v>
      </c>
      <c r="BT68">
        <f t="shared" si="42"/>
        <v>179.34</v>
      </c>
      <c r="BU68" s="23">
        <v>0.64</v>
      </c>
    </row>
    <row r="69" spans="1:73">
      <c r="A69">
        <v>64</v>
      </c>
      <c r="B69" s="1">
        <v>3</v>
      </c>
      <c r="G69" s="2" t="s">
        <v>651</v>
      </c>
      <c r="H69" s="7" t="s">
        <v>625</v>
      </c>
      <c r="I69" s="1">
        <f t="shared" si="39"/>
        <v>29.008000000000003</v>
      </c>
      <c r="J69" s="1">
        <f t="shared" si="39"/>
        <v>29.008000000000003</v>
      </c>
      <c r="K69" s="1">
        <f t="shared" si="39"/>
        <v>29.008000000000003</v>
      </c>
      <c r="L69" s="7">
        <v>2700</v>
      </c>
      <c r="M69" s="7">
        <v>1470</v>
      </c>
      <c r="N69" s="7">
        <v>0</v>
      </c>
      <c r="O69">
        <f t="shared" si="40"/>
        <v>176.4</v>
      </c>
      <c r="P69" s="7">
        <v>200</v>
      </c>
      <c r="Q69" s="7">
        <v>300</v>
      </c>
      <c r="R69" s="7" t="s">
        <v>641</v>
      </c>
      <c r="S69" s="30" t="s">
        <v>645</v>
      </c>
      <c r="T69" s="7">
        <v>9.5299999999999994</v>
      </c>
      <c r="U69" s="7">
        <v>71.3</v>
      </c>
      <c r="V69" s="1">
        <f>3710*9.8/100</f>
        <v>363.58</v>
      </c>
      <c r="W69" s="1">
        <f>1830*9.8/100</f>
        <v>179.34</v>
      </c>
      <c r="X69" s="2"/>
      <c r="Y69" s="2"/>
      <c r="Z69" s="2"/>
      <c r="AA69" s="2"/>
      <c r="AB69" s="2"/>
      <c r="AC69" s="2"/>
      <c r="AD69" s="2"/>
      <c r="AE69" s="37">
        <v>4</v>
      </c>
      <c r="AF69" s="22">
        <v>30</v>
      </c>
      <c r="AG69" s="37">
        <v>4</v>
      </c>
      <c r="AH69" s="22">
        <f>2.5*10</f>
        <v>25</v>
      </c>
      <c r="AI69" s="37">
        <v>4</v>
      </c>
      <c r="AJ69" s="22">
        <v>30</v>
      </c>
      <c r="AK69" s="37">
        <v>0</v>
      </c>
      <c r="AL69" s="22">
        <v>0</v>
      </c>
      <c r="AN69" s="29">
        <v>300</v>
      </c>
      <c r="AO69" s="29">
        <v>300</v>
      </c>
      <c r="AP69" s="7" t="s">
        <v>646</v>
      </c>
      <c r="AQ69" s="30" t="s">
        <v>648</v>
      </c>
      <c r="AR69" s="7">
        <v>15.9</v>
      </c>
      <c r="AS69" s="7">
        <v>199</v>
      </c>
      <c r="AT69">
        <f>3800*9.8/100</f>
        <v>372.4</v>
      </c>
      <c r="AU69">
        <f>1830*9.8/100</f>
        <v>179.34</v>
      </c>
      <c r="AV69" s="2"/>
      <c r="AW69" s="2"/>
      <c r="AX69" s="2"/>
      <c r="AY69" s="2"/>
      <c r="AZ69" s="2"/>
      <c r="BA69" s="2"/>
      <c r="BB69" s="2"/>
      <c r="BC69" s="22">
        <v>4</v>
      </c>
      <c r="BD69" s="22">
        <v>30</v>
      </c>
      <c r="BE69" s="22">
        <v>2</v>
      </c>
      <c r="BF69" s="22">
        <f>2.5*16</f>
        <v>40</v>
      </c>
      <c r="BG69" s="22">
        <v>5</v>
      </c>
      <c r="BH69" s="22">
        <v>30</v>
      </c>
      <c r="BI69" s="22">
        <v>2</v>
      </c>
      <c r="BJ69" s="22">
        <f>2.5*16</f>
        <v>40</v>
      </c>
      <c r="BK69" s="33"/>
      <c r="BL69" s="33">
        <v>0</v>
      </c>
      <c r="BN69" s="7" t="s">
        <v>153</v>
      </c>
      <c r="BQ69" s="38">
        <v>3</v>
      </c>
      <c r="BR69" s="38">
        <v>6</v>
      </c>
      <c r="BS69">
        <f t="shared" si="41"/>
        <v>363.58</v>
      </c>
      <c r="BT69">
        <f t="shared" si="42"/>
        <v>179.34</v>
      </c>
      <c r="BU69" s="23">
        <v>0.64</v>
      </c>
    </row>
    <row r="70" spans="1:73">
      <c r="A70">
        <v>65</v>
      </c>
      <c r="B70" s="1">
        <v>3</v>
      </c>
      <c r="G70" s="2" t="s">
        <v>651</v>
      </c>
      <c r="H70" s="7" t="s">
        <v>626</v>
      </c>
      <c r="I70" s="1">
        <f t="shared" si="39"/>
        <v>29.008000000000003</v>
      </c>
      <c r="J70" s="1">
        <f t="shared" si="39"/>
        <v>29.008000000000003</v>
      </c>
      <c r="K70" s="1">
        <f t="shared" si="39"/>
        <v>29.008000000000003</v>
      </c>
      <c r="L70" s="7">
        <v>2700</v>
      </c>
      <c r="M70" s="7">
        <v>1470</v>
      </c>
      <c r="N70" s="7">
        <v>0</v>
      </c>
      <c r="O70">
        <f t="shared" si="40"/>
        <v>176.4</v>
      </c>
      <c r="P70" s="7">
        <v>200</v>
      </c>
      <c r="Q70" s="7">
        <v>300</v>
      </c>
      <c r="R70" s="7" t="s">
        <v>640</v>
      </c>
      <c r="S70" s="30" t="s">
        <v>644</v>
      </c>
      <c r="T70" s="7">
        <v>12.7</v>
      </c>
      <c r="U70" s="7">
        <v>127</v>
      </c>
      <c r="V70" s="1">
        <f>4070*9.8/100</f>
        <v>398.86</v>
      </c>
      <c r="W70" s="1">
        <f>1890*9.8/100</f>
        <v>185.22</v>
      </c>
      <c r="X70" s="2"/>
      <c r="Y70" s="2"/>
      <c r="Z70" s="2"/>
      <c r="AA70" s="2"/>
      <c r="AB70" s="2"/>
      <c r="AC70" s="2"/>
      <c r="AD70" s="2"/>
      <c r="AE70" s="37">
        <v>4</v>
      </c>
      <c r="AF70" s="22">
        <v>30</v>
      </c>
      <c r="AG70" s="37">
        <v>0</v>
      </c>
      <c r="AH70" s="22">
        <v>0</v>
      </c>
      <c r="AI70" s="37">
        <v>3</v>
      </c>
      <c r="AJ70" s="22">
        <v>30</v>
      </c>
      <c r="AK70" s="37">
        <v>0</v>
      </c>
      <c r="AL70" s="22">
        <v>0</v>
      </c>
      <c r="AN70" s="29">
        <v>300</v>
      </c>
      <c r="AO70" s="29">
        <v>300</v>
      </c>
      <c r="AP70" s="7" t="s">
        <v>647</v>
      </c>
      <c r="AQ70" s="30" t="s">
        <v>645</v>
      </c>
      <c r="AR70" s="7">
        <v>15.9</v>
      </c>
      <c r="AS70" s="7">
        <v>199</v>
      </c>
      <c r="AT70">
        <f>3800*9.8/100</f>
        <v>372.4</v>
      </c>
      <c r="AU70">
        <f>1830*9.8/100</f>
        <v>179.34</v>
      </c>
      <c r="AV70" s="2"/>
      <c r="AW70" s="2"/>
      <c r="AX70" s="2"/>
      <c r="AY70" s="2"/>
      <c r="AZ70" s="2"/>
      <c r="BA70" s="2"/>
      <c r="BB70" s="2"/>
      <c r="BC70" s="22">
        <v>5</v>
      </c>
      <c r="BD70" s="22">
        <v>30</v>
      </c>
      <c r="BE70" s="22">
        <v>2</v>
      </c>
      <c r="BF70" s="22">
        <f>2.5*16</f>
        <v>40</v>
      </c>
      <c r="BG70" s="22">
        <v>5</v>
      </c>
      <c r="BH70" s="22">
        <v>30</v>
      </c>
      <c r="BI70" s="22">
        <v>2</v>
      </c>
      <c r="BJ70" s="22">
        <f>2.5*16</f>
        <v>40</v>
      </c>
      <c r="BK70" s="33"/>
      <c r="BL70" s="33">
        <v>2</v>
      </c>
      <c r="BN70" s="7" t="s">
        <v>153</v>
      </c>
      <c r="BQ70" s="38">
        <v>3</v>
      </c>
      <c r="BR70" s="38">
        <v>6</v>
      </c>
      <c r="BS70">
        <f t="shared" si="41"/>
        <v>363.58</v>
      </c>
      <c r="BT70">
        <f t="shared" si="42"/>
        <v>179.34</v>
      </c>
      <c r="BU70" s="23">
        <v>0.64</v>
      </c>
    </row>
    <row r="71" spans="1:73">
      <c r="A71">
        <v>66</v>
      </c>
      <c r="B71" s="1">
        <v>3</v>
      </c>
      <c r="G71" s="2" t="s">
        <v>651</v>
      </c>
      <c r="H71" s="7" t="s">
        <v>717</v>
      </c>
      <c r="I71" s="1">
        <f t="shared" si="39"/>
        <v>29.008000000000003</v>
      </c>
      <c r="J71" s="1">
        <f t="shared" si="39"/>
        <v>29.008000000000003</v>
      </c>
      <c r="K71" s="1">
        <f t="shared" si="39"/>
        <v>29.008000000000003</v>
      </c>
      <c r="L71" s="7">
        <v>2700</v>
      </c>
      <c r="M71" s="7">
        <v>1470</v>
      </c>
      <c r="N71" s="7">
        <v>0</v>
      </c>
      <c r="O71">
        <f t="shared" si="40"/>
        <v>176.4</v>
      </c>
      <c r="P71" s="7">
        <v>200</v>
      </c>
      <c r="Q71" s="7">
        <v>300</v>
      </c>
      <c r="R71" s="7" t="s">
        <v>639</v>
      </c>
      <c r="S71" s="30" t="s">
        <v>644</v>
      </c>
      <c r="T71" s="7">
        <v>9.5299999999999994</v>
      </c>
      <c r="U71" s="7">
        <v>71.3</v>
      </c>
      <c r="V71" s="1">
        <f>3860*9.8/100</f>
        <v>378.28</v>
      </c>
      <c r="W71" s="1">
        <f>1780*9.8/100</f>
        <v>174.44</v>
      </c>
      <c r="X71" s="2"/>
      <c r="Y71" s="2"/>
      <c r="Z71" s="2"/>
      <c r="AA71" s="2"/>
      <c r="AB71" s="2"/>
      <c r="AC71" s="2"/>
      <c r="AD71" s="2"/>
      <c r="AE71" s="37">
        <v>5</v>
      </c>
      <c r="AF71" s="22">
        <v>30</v>
      </c>
      <c r="AG71" s="37">
        <v>4</v>
      </c>
      <c r="AH71" s="22">
        <f>2.5*10</f>
        <v>25</v>
      </c>
      <c r="AI71" s="37">
        <v>5</v>
      </c>
      <c r="AJ71" s="22">
        <v>30</v>
      </c>
      <c r="AK71" s="37">
        <v>0</v>
      </c>
      <c r="AL71" s="22">
        <v>0</v>
      </c>
      <c r="AN71" s="29">
        <v>300</v>
      </c>
      <c r="AO71" s="29">
        <v>300</v>
      </c>
      <c r="AP71" s="7" t="s">
        <v>647</v>
      </c>
      <c r="AQ71" s="30" t="s">
        <v>648</v>
      </c>
      <c r="AR71" s="7">
        <v>15.9</v>
      </c>
      <c r="AS71" s="7">
        <v>199</v>
      </c>
      <c r="AT71">
        <f>3800*9.8/100</f>
        <v>372.4</v>
      </c>
      <c r="AU71">
        <f>1830*9.8/100</f>
        <v>179.34</v>
      </c>
      <c r="AV71" s="2"/>
      <c r="AW71" s="2"/>
      <c r="AX71" s="2"/>
      <c r="AY71" s="2"/>
      <c r="AZ71" s="2"/>
      <c r="BA71" s="2"/>
      <c r="BB71" s="2"/>
      <c r="BC71" s="22">
        <v>5</v>
      </c>
      <c r="BD71" s="22">
        <v>30</v>
      </c>
      <c r="BE71" s="22">
        <v>2</v>
      </c>
      <c r="BF71" s="22">
        <f>2.5*16</f>
        <v>40</v>
      </c>
      <c r="BG71" s="22">
        <v>5</v>
      </c>
      <c r="BH71" s="22">
        <v>30</v>
      </c>
      <c r="BI71" s="22">
        <v>2</v>
      </c>
      <c r="BJ71" s="22">
        <f>2.5*16</f>
        <v>40</v>
      </c>
      <c r="BK71" s="33"/>
      <c r="BL71" s="33">
        <v>2</v>
      </c>
      <c r="BN71" s="7" t="s">
        <v>153</v>
      </c>
      <c r="BQ71" s="38">
        <v>3</v>
      </c>
      <c r="BR71" s="38">
        <v>6</v>
      </c>
      <c r="BS71">
        <f t="shared" si="41"/>
        <v>363.58</v>
      </c>
      <c r="BT71">
        <f t="shared" si="42"/>
        <v>179.34</v>
      </c>
      <c r="BU71" s="23">
        <v>0.64</v>
      </c>
    </row>
    <row r="72" spans="1:73">
      <c r="A72">
        <v>67</v>
      </c>
      <c r="B72" s="1">
        <v>3</v>
      </c>
      <c r="G72" s="2" t="s">
        <v>650</v>
      </c>
      <c r="H72" s="7" t="s">
        <v>627</v>
      </c>
      <c r="I72" s="1">
        <f t="shared" si="39"/>
        <v>29.008000000000003</v>
      </c>
      <c r="J72" s="1">
        <f t="shared" si="39"/>
        <v>29.008000000000003</v>
      </c>
      <c r="K72" s="1">
        <f t="shared" si="39"/>
        <v>29.008000000000003</v>
      </c>
      <c r="L72" s="7">
        <v>2700</v>
      </c>
      <c r="M72" s="7">
        <v>1470</v>
      </c>
      <c r="N72" s="7">
        <v>0</v>
      </c>
      <c r="O72">
        <f t="shared" si="40"/>
        <v>176.4</v>
      </c>
      <c r="P72" s="7">
        <v>200</v>
      </c>
      <c r="Q72" s="7">
        <v>300</v>
      </c>
      <c r="R72" s="7" t="s">
        <v>642</v>
      </c>
      <c r="S72" s="30" t="s">
        <v>645</v>
      </c>
      <c r="T72" s="7">
        <v>12.7</v>
      </c>
      <c r="U72" s="7">
        <v>127</v>
      </c>
      <c r="V72" s="1">
        <f>3650*9.8/100</f>
        <v>357.7</v>
      </c>
      <c r="W72" s="1">
        <f>1870*9.8/100</f>
        <v>183.26</v>
      </c>
      <c r="X72" s="2"/>
      <c r="Y72" s="2"/>
      <c r="Z72" s="2"/>
      <c r="AA72" s="2"/>
      <c r="AB72" s="2"/>
      <c r="AC72" s="2"/>
      <c r="AD72" s="2"/>
      <c r="AE72" s="37">
        <v>5</v>
      </c>
      <c r="AF72" s="22">
        <v>30</v>
      </c>
      <c r="AG72" s="37">
        <v>0</v>
      </c>
      <c r="AH72" s="22">
        <v>0</v>
      </c>
      <c r="AI72" s="37">
        <v>5</v>
      </c>
      <c r="AJ72" s="22">
        <v>30</v>
      </c>
      <c r="AK72" s="37">
        <v>0</v>
      </c>
      <c r="AL72" s="22">
        <v>0</v>
      </c>
      <c r="AN72" s="29">
        <v>300</v>
      </c>
      <c r="AO72" s="29">
        <v>300</v>
      </c>
      <c r="AP72" s="7" t="s">
        <v>647</v>
      </c>
      <c r="AQ72" s="30" t="s">
        <v>649</v>
      </c>
      <c r="AR72" s="7">
        <v>15.9</v>
      </c>
      <c r="AS72" s="7">
        <v>199</v>
      </c>
      <c r="AT72">
        <f>3800*9.8/100</f>
        <v>372.4</v>
      </c>
      <c r="AU72">
        <f>1830*9.8/100</f>
        <v>179.34</v>
      </c>
      <c r="AV72" s="2"/>
      <c r="AW72" s="2"/>
      <c r="AX72" s="2"/>
      <c r="AY72" s="2"/>
      <c r="AZ72" s="2"/>
      <c r="BA72" s="2"/>
      <c r="BB72" s="2"/>
      <c r="BC72" s="22">
        <v>6</v>
      </c>
      <c r="BD72" s="22">
        <v>30</v>
      </c>
      <c r="BE72" s="22">
        <v>2</v>
      </c>
      <c r="BF72" s="22">
        <f>2.5*16</f>
        <v>40</v>
      </c>
      <c r="BG72" s="22">
        <v>6</v>
      </c>
      <c r="BH72" s="22">
        <v>30</v>
      </c>
      <c r="BI72" s="22">
        <v>2</v>
      </c>
      <c r="BJ72" s="22">
        <f>2.5*16</f>
        <v>40</v>
      </c>
      <c r="BK72" s="33"/>
      <c r="BL72" s="33">
        <v>2</v>
      </c>
      <c r="BN72" s="7" t="s">
        <v>652</v>
      </c>
      <c r="BQ72" s="38">
        <v>3</v>
      </c>
      <c r="BR72" s="38">
        <v>6</v>
      </c>
      <c r="BS72">
        <f t="shared" si="41"/>
        <v>363.58</v>
      </c>
      <c r="BT72">
        <f t="shared" si="42"/>
        <v>179.34</v>
      </c>
      <c r="BU72" s="23">
        <v>0.64</v>
      </c>
    </row>
    <row r="73" spans="1:73">
      <c r="A73">
        <v>68</v>
      </c>
      <c r="B73" s="1">
        <v>1</v>
      </c>
      <c r="C73">
        <v>18</v>
      </c>
      <c r="D73" t="s">
        <v>44</v>
      </c>
      <c r="E73">
        <v>1990</v>
      </c>
      <c r="F73" t="s">
        <v>33</v>
      </c>
      <c r="G73" t="s">
        <v>484</v>
      </c>
      <c r="H73" s="1" t="s">
        <v>468</v>
      </c>
      <c r="I73">
        <f t="shared" ref="I73:K74" si="43">828*9.8/100</f>
        <v>81.144000000000005</v>
      </c>
      <c r="J73">
        <f t="shared" si="43"/>
        <v>81.144000000000005</v>
      </c>
      <c r="K73">
        <f t="shared" si="43"/>
        <v>81.144000000000005</v>
      </c>
      <c r="L73">
        <v>2860</v>
      </c>
      <c r="M73">
        <v>1400</v>
      </c>
      <c r="N73" s="7">
        <v>0</v>
      </c>
      <c r="O73">
        <f>85*9.8</f>
        <v>833.00000000000011</v>
      </c>
      <c r="P73">
        <v>240</v>
      </c>
      <c r="Q73">
        <v>300</v>
      </c>
      <c r="R73" t="s">
        <v>474</v>
      </c>
      <c r="S73" s="30" t="s">
        <v>472</v>
      </c>
      <c r="T73">
        <v>12.7</v>
      </c>
      <c r="U73">
        <v>127</v>
      </c>
      <c r="V73" s="1">
        <f>6390*9.8/100</f>
        <v>626.22</v>
      </c>
      <c r="W73" s="21">
        <v>205</v>
      </c>
      <c r="X73" t="s">
        <v>473</v>
      </c>
      <c r="Y73">
        <v>50</v>
      </c>
      <c r="Z73">
        <v>2</v>
      </c>
      <c r="AA73">
        <v>6.4</v>
      </c>
      <c r="AB73" s="2">
        <f>6.4/2*6.4/2*3.14</f>
        <v>32.153600000000004</v>
      </c>
      <c r="AC73">
        <f>14010*9.8/100</f>
        <v>1372.98</v>
      </c>
      <c r="AD73" s="16">
        <v>205</v>
      </c>
      <c r="AE73">
        <v>5</v>
      </c>
      <c r="AF73">
        <v>30</v>
      </c>
      <c r="AG73">
        <v>4</v>
      </c>
      <c r="AH73">
        <v>50</v>
      </c>
      <c r="AI73">
        <v>5</v>
      </c>
      <c r="AJ73">
        <v>30</v>
      </c>
      <c r="AK73">
        <v>2</v>
      </c>
      <c r="AL73">
        <v>50</v>
      </c>
      <c r="AN73">
        <v>300</v>
      </c>
      <c r="AO73">
        <v>300</v>
      </c>
      <c r="AP73" t="s">
        <v>474</v>
      </c>
      <c r="AQ73" s="30" t="s">
        <v>472</v>
      </c>
      <c r="AR73">
        <v>12.7</v>
      </c>
      <c r="AS73">
        <v>127</v>
      </c>
      <c r="AT73">
        <f>6390*9.8/100</f>
        <v>626.22</v>
      </c>
      <c r="AU73" s="16">
        <v>205</v>
      </c>
      <c r="AV73" t="s">
        <v>473</v>
      </c>
      <c r="AW73">
        <v>50</v>
      </c>
      <c r="AX73">
        <v>2</v>
      </c>
      <c r="AY73">
        <v>6.4</v>
      </c>
      <c r="AZ73">
        <f>6.4*6.4*3.14/4</f>
        <v>32.153600000000004</v>
      </c>
      <c r="BA73">
        <f>14010*9.8/100</f>
        <v>1372.98</v>
      </c>
      <c r="BB73" s="16">
        <v>205</v>
      </c>
      <c r="BC73" s="22">
        <v>8</v>
      </c>
      <c r="BD73" s="22">
        <v>30</v>
      </c>
      <c r="BE73" s="22">
        <v>2</v>
      </c>
      <c r="BF73" s="22">
        <v>60</v>
      </c>
      <c r="BG73" s="22">
        <v>8</v>
      </c>
      <c r="BH73" s="22">
        <v>30</v>
      </c>
      <c r="BI73" s="22">
        <v>2</v>
      </c>
      <c r="BJ73" s="22">
        <v>60</v>
      </c>
      <c r="BL73" s="33">
        <v>4</v>
      </c>
      <c r="BM73" t="s">
        <v>475</v>
      </c>
      <c r="BN73" s="7" t="s">
        <v>653</v>
      </c>
      <c r="BP73" s="30">
        <v>30</v>
      </c>
      <c r="BQ73">
        <v>5</v>
      </c>
      <c r="BR73">
        <v>10</v>
      </c>
      <c r="BS73">
        <f>14010*9.8/100</f>
        <v>1372.98</v>
      </c>
      <c r="BT73" s="16">
        <v>205</v>
      </c>
      <c r="BU73" s="76"/>
    </row>
    <row r="74" spans="1:73">
      <c r="A74">
        <v>69</v>
      </c>
      <c r="B74" s="1">
        <v>1</v>
      </c>
      <c r="G74" t="s">
        <v>483</v>
      </c>
      <c r="H74" s="1" t="s">
        <v>469</v>
      </c>
      <c r="I74">
        <f t="shared" si="43"/>
        <v>81.144000000000005</v>
      </c>
      <c r="J74">
        <f t="shared" si="43"/>
        <v>81.144000000000005</v>
      </c>
      <c r="K74">
        <f t="shared" si="43"/>
        <v>81.144000000000005</v>
      </c>
      <c r="L74">
        <v>2860</v>
      </c>
      <c r="M74">
        <v>1400</v>
      </c>
      <c r="N74" s="7">
        <v>0</v>
      </c>
      <c r="O74">
        <f>85*9.8</f>
        <v>833.00000000000011</v>
      </c>
      <c r="P74">
        <v>240</v>
      </c>
      <c r="Q74">
        <v>300</v>
      </c>
      <c r="R74" t="s">
        <v>476</v>
      </c>
      <c r="T74">
        <v>13</v>
      </c>
      <c r="U74">
        <v>132.69999999999999</v>
      </c>
      <c r="V74" s="1">
        <f>14560*9.8/100</f>
        <v>1426.88</v>
      </c>
      <c r="W74" s="21">
        <v>205</v>
      </c>
      <c r="X74" t="s">
        <v>473</v>
      </c>
      <c r="Y74">
        <v>50</v>
      </c>
      <c r="Z74">
        <v>2</v>
      </c>
      <c r="AA74">
        <v>6.4</v>
      </c>
      <c r="AB74" s="2">
        <f>6.4/2*6.4/2*3.14</f>
        <v>32.153600000000004</v>
      </c>
      <c r="AC74">
        <f>14010*9.8/100</f>
        <v>1372.98</v>
      </c>
      <c r="AD74" s="16">
        <v>205</v>
      </c>
      <c r="AE74">
        <v>4</v>
      </c>
      <c r="AF74">
        <v>30</v>
      </c>
      <c r="AG74">
        <v>4</v>
      </c>
      <c r="AH74">
        <v>50</v>
      </c>
      <c r="AI74">
        <v>4</v>
      </c>
      <c r="AJ74">
        <v>30</v>
      </c>
      <c r="AK74">
        <v>4</v>
      </c>
      <c r="AL74">
        <v>50</v>
      </c>
      <c r="AN74">
        <v>300</v>
      </c>
      <c r="AO74">
        <v>300</v>
      </c>
      <c r="AP74" t="s">
        <v>480</v>
      </c>
      <c r="AR74">
        <v>13</v>
      </c>
      <c r="AS74">
        <v>132.69999999999999</v>
      </c>
      <c r="AT74">
        <f>14560*9.8/100</f>
        <v>1426.88</v>
      </c>
      <c r="AU74" s="16">
        <v>205</v>
      </c>
      <c r="AV74" t="s">
        <v>473</v>
      </c>
      <c r="AW74">
        <v>50</v>
      </c>
      <c r="AX74">
        <v>2</v>
      </c>
      <c r="AY74">
        <v>6.4</v>
      </c>
      <c r="AZ74">
        <f>6.4*6.4*3.14/4</f>
        <v>32.153600000000004</v>
      </c>
      <c r="BA74">
        <f>14010*9.8/100</f>
        <v>1372.98</v>
      </c>
      <c r="BB74" s="16">
        <v>205</v>
      </c>
      <c r="BC74" s="22">
        <v>8</v>
      </c>
      <c r="BD74" s="22">
        <v>30</v>
      </c>
      <c r="BE74" s="22">
        <v>2</v>
      </c>
      <c r="BF74" s="22">
        <v>60</v>
      </c>
      <c r="BG74" s="22">
        <v>8</v>
      </c>
      <c r="BH74" s="22">
        <v>30</v>
      </c>
      <c r="BI74" s="22">
        <v>2</v>
      </c>
      <c r="BJ74" s="22">
        <v>60</v>
      </c>
      <c r="BL74" s="33">
        <v>4</v>
      </c>
      <c r="BM74" t="s">
        <v>475</v>
      </c>
      <c r="BN74" s="7" t="s">
        <v>653</v>
      </c>
      <c r="BP74" s="30">
        <v>30</v>
      </c>
      <c r="BQ74">
        <v>5</v>
      </c>
      <c r="BR74">
        <v>10</v>
      </c>
      <c r="BS74">
        <f>14010*9.8/100</f>
        <v>1372.98</v>
      </c>
      <c r="BT74" s="16">
        <v>205</v>
      </c>
      <c r="BU74" s="76"/>
    </row>
    <row r="75" spans="1:73">
      <c r="A75">
        <v>70</v>
      </c>
      <c r="B75" s="1">
        <v>1</v>
      </c>
      <c r="G75" t="s">
        <v>485</v>
      </c>
      <c r="H75" s="1" t="s">
        <v>470</v>
      </c>
      <c r="I75">
        <f t="shared" ref="I75:K76" si="44">742*9.8/100</f>
        <v>72.716000000000008</v>
      </c>
      <c r="J75">
        <f t="shared" si="44"/>
        <v>72.716000000000008</v>
      </c>
      <c r="K75">
        <f t="shared" si="44"/>
        <v>72.716000000000008</v>
      </c>
      <c r="L75">
        <v>2860</v>
      </c>
      <c r="M75">
        <v>1400</v>
      </c>
      <c r="N75" s="7">
        <v>0</v>
      </c>
      <c r="O75">
        <f>85*9.8</f>
        <v>833.00000000000011</v>
      </c>
      <c r="P75">
        <v>240</v>
      </c>
      <c r="Q75">
        <v>300</v>
      </c>
      <c r="R75" t="s">
        <v>474</v>
      </c>
      <c r="S75" s="30" t="s">
        <v>478</v>
      </c>
      <c r="T75">
        <v>12.7</v>
      </c>
      <c r="U75">
        <v>127</v>
      </c>
      <c r="V75" s="1">
        <f>5160*9.8/100</f>
        <v>505.68000000000006</v>
      </c>
      <c r="W75" s="21">
        <v>205</v>
      </c>
      <c r="X75" t="s">
        <v>477</v>
      </c>
      <c r="Y75">
        <v>50</v>
      </c>
      <c r="Z75">
        <v>2</v>
      </c>
      <c r="AA75">
        <v>6.4</v>
      </c>
      <c r="AB75" s="2">
        <f>6.4/2*6.4/2*3.14</f>
        <v>32.153600000000004</v>
      </c>
      <c r="AC75">
        <f>14010*9.8/100</f>
        <v>1372.98</v>
      </c>
      <c r="AD75" s="16">
        <v>205</v>
      </c>
      <c r="AE75">
        <v>5</v>
      </c>
      <c r="AF75">
        <v>30</v>
      </c>
      <c r="AG75">
        <v>5</v>
      </c>
      <c r="AH75">
        <v>50</v>
      </c>
      <c r="AI75">
        <v>5</v>
      </c>
      <c r="AJ75">
        <v>30</v>
      </c>
      <c r="AK75">
        <v>5</v>
      </c>
      <c r="AL75">
        <v>50</v>
      </c>
      <c r="AN75">
        <v>300</v>
      </c>
      <c r="AO75">
        <v>300</v>
      </c>
      <c r="AP75" t="s">
        <v>481</v>
      </c>
      <c r="AQ75" s="30" t="s">
        <v>478</v>
      </c>
      <c r="AR75">
        <v>15.9</v>
      </c>
      <c r="AS75">
        <v>199</v>
      </c>
      <c r="AT75">
        <f>5020*9.8/100</f>
        <v>491.96</v>
      </c>
      <c r="AU75" s="16">
        <v>205</v>
      </c>
      <c r="AV75" t="s">
        <v>473</v>
      </c>
      <c r="AW75">
        <v>50</v>
      </c>
      <c r="AX75">
        <v>2</v>
      </c>
      <c r="AY75">
        <v>6.4</v>
      </c>
      <c r="AZ75">
        <f>6.4*6.4*3.14/4</f>
        <v>32.153600000000004</v>
      </c>
      <c r="BA75">
        <f>14010*9.8/100</f>
        <v>1372.98</v>
      </c>
      <c r="BB75" s="16">
        <v>205</v>
      </c>
      <c r="BC75" s="22">
        <v>8</v>
      </c>
      <c r="BD75" s="22">
        <v>30</v>
      </c>
      <c r="BE75" s="22">
        <v>2</v>
      </c>
      <c r="BF75" s="22">
        <v>60</v>
      </c>
      <c r="BG75" s="22">
        <v>8</v>
      </c>
      <c r="BH75" s="22">
        <v>30</v>
      </c>
      <c r="BI75" s="22">
        <v>2</v>
      </c>
      <c r="BJ75" s="22">
        <v>60</v>
      </c>
      <c r="BL75" s="33">
        <v>4</v>
      </c>
      <c r="BM75" t="s">
        <v>475</v>
      </c>
      <c r="BN75" s="7" t="s">
        <v>653</v>
      </c>
      <c r="BP75" s="30">
        <v>30</v>
      </c>
      <c r="BQ75">
        <v>5</v>
      </c>
      <c r="BR75">
        <v>10</v>
      </c>
      <c r="BS75">
        <f>14010*9.8/100</f>
        <v>1372.98</v>
      </c>
      <c r="BT75" s="16">
        <v>205</v>
      </c>
      <c r="BU75" s="76"/>
    </row>
    <row r="76" spans="1:73" s="12" customFormat="1">
      <c r="A76" s="12">
        <v>71</v>
      </c>
      <c r="B76" s="1">
        <v>1</v>
      </c>
      <c r="G76" s="12" t="s">
        <v>482</v>
      </c>
      <c r="H76" s="1" t="s">
        <v>471</v>
      </c>
      <c r="I76" s="12">
        <f t="shared" si="44"/>
        <v>72.716000000000008</v>
      </c>
      <c r="J76" s="12">
        <f t="shared" si="44"/>
        <v>72.716000000000008</v>
      </c>
      <c r="K76" s="12">
        <f t="shared" si="44"/>
        <v>72.716000000000008</v>
      </c>
      <c r="L76" s="12">
        <v>2860</v>
      </c>
      <c r="M76" s="12">
        <v>1400</v>
      </c>
      <c r="N76" s="12">
        <v>0</v>
      </c>
      <c r="O76" s="12">
        <f>85*9.8</f>
        <v>833.00000000000011</v>
      </c>
      <c r="P76" s="12">
        <v>240</v>
      </c>
      <c r="Q76" s="12">
        <v>300</v>
      </c>
      <c r="R76" s="12" t="s">
        <v>474</v>
      </c>
      <c r="S76" s="12" t="s">
        <v>479</v>
      </c>
      <c r="T76" s="12">
        <v>12.7</v>
      </c>
      <c r="U76" s="12">
        <v>127</v>
      </c>
      <c r="V76" s="12">
        <f>8400*9.8/100</f>
        <v>823.2</v>
      </c>
      <c r="W76" s="39">
        <v>205</v>
      </c>
      <c r="X76" s="12" t="s">
        <v>473</v>
      </c>
      <c r="Y76" s="12">
        <v>50</v>
      </c>
      <c r="Z76" s="12">
        <v>2</v>
      </c>
      <c r="AA76" s="12">
        <v>6.4</v>
      </c>
      <c r="AC76" s="12">
        <f>14010*9.8/100</f>
        <v>1372.98</v>
      </c>
      <c r="AD76" s="39">
        <v>205</v>
      </c>
      <c r="AE76" s="12">
        <v>5</v>
      </c>
      <c r="AF76" s="12">
        <v>30</v>
      </c>
      <c r="AG76" s="12">
        <v>4</v>
      </c>
      <c r="AH76" s="12">
        <v>50</v>
      </c>
      <c r="AI76" s="12">
        <v>5</v>
      </c>
      <c r="AJ76" s="12">
        <v>30</v>
      </c>
      <c r="AK76" s="12">
        <v>2</v>
      </c>
      <c r="AL76" s="12">
        <v>50</v>
      </c>
      <c r="AN76" s="12">
        <v>300</v>
      </c>
      <c r="AO76" s="12">
        <v>300</v>
      </c>
      <c r="AP76" s="12" t="s">
        <v>474</v>
      </c>
      <c r="AQ76" s="12" t="s">
        <v>479</v>
      </c>
      <c r="AR76" s="12">
        <v>12.7</v>
      </c>
      <c r="AS76" s="12">
        <v>127</v>
      </c>
      <c r="AT76" s="12">
        <f>8400*9.8/100</f>
        <v>823.2</v>
      </c>
      <c r="AU76" s="39">
        <v>205</v>
      </c>
      <c r="AV76" s="12" t="s">
        <v>473</v>
      </c>
      <c r="AW76" s="12">
        <v>50</v>
      </c>
      <c r="AX76" s="12">
        <v>2</v>
      </c>
      <c r="AY76" s="12">
        <v>6.4</v>
      </c>
      <c r="BA76" s="12">
        <f>14010*9.8/100</f>
        <v>1372.98</v>
      </c>
      <c r="BB76" s="39">
        <v>205</v>
      </c>
      <c r="BC76" s="39">
        <v>8</v>
      </c>
      <c r="BD76" s="39">
        <v>30</v>
      </c>
      <c r="BE76" s="39">
        <v>2</v>
      </c>
      <c r="BF76" s="39">
        <v>60</v>
      </c>
      <c r="BG76" s="39">
        <v>8</v>
      </c>
      <c r="BH76" s="39">
        <v>30</v>
      </c>
      <c r="BI76" s="39">
        <v>2</v>
      </c>
      <c r="BJ76" s="39">
        <v>60</v>
      </c>
      <c r="BL76" s="39">
        <v>4</v>
      </c>
      <c r="BM76" s="12" t="s">
        <v>475</v>
      </c>
      <c r="BN76" s="12" t="s">
        <v>653</v>
      </c>
      <c r="BP76" s="12">
        <v>30</v>
      </c>
      <c r="BQ76" s="12">
        <v>5</v>
      </c>
      <c r="BR76" s="12">
        <v>10</v>
      </c>
      <c r="BS76" s="12">
        <f>14010*9.8/100</f>
        <v>1372.98</v>
      </c>
      <c r="BT76" s="39">
        <v>205</v>
      </c>
      <c r="BU76" s="80"/>
    </row>
    <row r="77" spans="1:73" ht="37.5">
      <c r="A77">
        <v>72</v>
      </c>
      <c r="B77" s="1">
        <v>1</v>
      </c>
      <c r="C77">
        <v>19</v>
      </c>
      <c r="D77" t="s">
        <v>45</v>
      </c>
      <c r="E77">
        <v>1990</v>
      </c>
      <c r="F77" t="s">
        <v>33</v>
      </c>
      <c r="G77" t="s">
        <v>484</v>
      </c>
      <c r="H77" s="1" t="s">
        <v>486</v>
      </c>
      <c r="I77">
        <f>904*9.8/100</f>
        <v>88.592000000000013</v>
      </c>
      <c r="J77">
        <f>957*9.8/100</f>
        <v>93.786000000000001</v>
      </c>
      <c r="K77">
        <f>904*9.8/100</f>
        <v>88.592000000000013</v>
      </c>
      <c r="L77">
        <v>2800</v>
      </c>
      <c r="M77">
        <v>1800</v>
      </c>
      <c r="N77" s="7">
        <v>0</v>
      </c>
      <c r="O77">
        <f>150*9.8*40*40/1000</f>
        <v>2352</v>
      </c>
      <c r="P77">
        <v>300</v>
      </c>
      <c r="Q77">
        <v>400</v>
      </c>
      <c r="R77" t="s">
        <v>491</v>
      </c>
      <c r="S77" s="30" t="s">
        <v>655</v>
      </c>
      <c r="T77" s="1">
        <v>15.9</v>
      </c>
      <c r="U77" s="1">
        <v>199</v>
      </c>
      <c r="V77" s="1">
        <f>6.23*9.8*10</f>
        <v>610.54000000000008</v>
      </c>
      <c r="W77" s="1">
        <f>1759*9.8/100</f>
        <v>172.38200000000001</v>
      </c>
      <c r="X77" t="s">
        <v>494</v>
      </c>
      <c r="Y77">
        <v>80</v>
      </c>
      <c r="Z77" s="1">
        <v>4</v>
      </c>
      <c r="AA77">
        <v>6.35</v>
      </c>
      <c r="AB77">
        <v>31.7</v>
      </c>
      <c r="AC77">
        <f>8.43*9.8*10</f>
        <v>826.1400000000001</v>
      </c>
      <c r="AD77">
        <f>1969*9.8/100</f>
        <v>192.96200000000002</v>
      </c>
      <c r="AE77">
        <v>4</v>
      </c>
      <c r="AF77">
        <v>45</v>
      </c>
      <c r="AG77">
        <v>4</v>
      </c>
      <c r="AH77">
        <v>60</v>
      </c>
      <c r="AI77">
        <v>4</v>
      </c>
      <c r="AJ77">
        <v>45</v>
      </c>
      <c r="AK77">
        <v>4</v>
      </c>
      <c r="AL77">
        <v>60</v>
      </c>
      <c r="AN77">
        <v>400</v>
      </c>
      <c r="AO77">
        <v>400</v>
      </c>
      <c r="AP77" s="40" t="s">
        <v>656</v>
      </c>
      <c r="AQ77" s="30" t="s">
        <v>662</v>
      </c>
      <c r="AR77" s="43" t="s">
        <v>661</v>
      </c>
      <c r="AS77" s="50">
        <f t="shared" ref="AS77:AS82" si="45">(387*8+287*4)/(8+4)</f>
        <v>353.66666666666669</v>
      </c>
      <c r="AT77" s="42">
        <f>(6.16*387*8+6.47*287*4)*10*9.8/(387*8+287*4)</f>
        <v>611.8977756833176</v>
      </c>
      <c r="AU77" s="42">
        <f>(1940*387*8+1925*287*4)/100*9.8/(387*8+287*4)</f>
        <v>189.7223656927427</v>
      </c>
      <c r="AV77" t="s">
        <v>496</v>
      </c>
      <c r="AW77">
        <v>50</v>
      </c>
      <c r="AX77" s="1">
        <v>4</v>
      </c>
      <c r="AY77">
        <v>9.5299999999999994</v>
      </c>
      <c r="AZ77">
        <v>71.3</v>
      </c>
      <c r="BA77">
        <f>3.5*9.8*10</f>
        <v>343.00000000000006</v>
      </c>
      <c r="BB77">
        <f>1836*9.8/100</f>
        <v>179.92800000000003</v>
      </c>
      <c r="BC77">
        <v>4</v>
      </c>
      <c r="BD77">
        <v>45</v>
      </c>
      <c r="BE77">
        <v>2</v>
      </c>
      <c r="BF77">
        <v>92.5</v>
      </c>
      <c r="BG77">
        <v>4</v>
      </c>
      <c r="BH77">
        <v>45</v>
      </c>
      <c r="BI77">
        <v>2</v>
      </c>
      <c r="BJ77">
        <v>92.5</v>
      </c>
      <c r="BL77" s="30">
        <v>0</v>
      </c>
      <c r="BM77" t="s">
        <v>497</v>
      </c>
      <c r="BN77" s="7" t="s">
        <v>664</v>
      </c>
      <c r="BP77" s="30">
        <v>50</v>
      </c>
      <c r="BQ77">
        <v>6</v>
      </c>
      <c r="BR77" s="2">
        <v>24</v>
      </c>
      <c r="BS77">
        <f>6.94*9.8*10</f>
        <v>680.12000000000012</v>
      </c>
      <c r="BT77">
        <f>1943*9.8/100</f>
        <v>190.41400000000002</v>
      </c>
      <c r="BU77" s="23">
        <v>1</v>
      </c>
    </row>
    <row r="78" spans="1:73" ht="37.5">
      <c r="A78">
        <v>73</v>
      </c>
      <c r="B78" s="1">
        <v>1</v>
      </c>
      <c r="G78" t="s">
        <v>484</v>
      </c>
      <c r="H78" s="1" t="s">
        <v>487</v>
      </c>
      <c r="I78">
        <f>904*9.8/100</f>
        <v>88.592000000000013</v>
      </c>
      <c r="J78">
        <f>957*9.8/100</f>
        <v>93.786000000000001</v>
      </c>
      <c r="K78">
        <f>904*9.8/100</f>
        <v>88.592000000000013</v>
      </c>
      <c r="L78">
        <v>2800</v>
      </c>
      <c r="M78">
        <v>1800</v>
      </c>
      <c r="N78" s="7">
        <v>0</v>
      </c>
      <c r="O78">
        <f>150*9.8*40*40/1000</f>
        <v>2352</v>
      </c>
      <c r="P78">
        <v>300</v>
      </c>
      <c r="Q78">
        <v>400</v>
      </c>
      <c r="R78" t="s">
        <v>492</v>
      </c>
      <c r="T78">
        <v>22.2</v>
      </c>
      <c r="U78">
        <v>387</v>
      </c>
      <c r="V78" s="1">
        <f>4.5*9.8*10</f>
        <v>441</v>
      </c>
      <c r="W78" s="1">
        <f>1942*9.8/100</f>
        <v>190.31600000000003</v>
      </c>
      <c r="X78" t="s">
        <v>494</v>
      </c>
      <c r="Y78">
        <v>60</v>
      </c>
      <c r="Z78" s="1">
        <v>4</v>
      </c>
      <c r="AA78">
        <v>6.35</v>
      </c>
      <c r="AB78">
        <v>31.7</v>
      </c>
      <c r="AC78">
        <f>8.43*9.8*10</f>
        <v>826.1400000000001</v>
      </c>
      <c r="AD78">
        <f>1969*9.8/100</f>
        <v>192.96200000000002</v>
      </c>
      <c r="AE78">
        <v>4</v>
      </c>
      <c r="AF78">
        <v>45</v>
      </c>
      <c r="AG78">
        <v>4</v>
      </c>
      <c r="AH78">
        <v>60</v>
      </c>
      <c r="AI78">
        <v>4</v>
      </c>
      <c r="AJ78">
        <v>45</v>
      </c>
      <c r="AK78">
        <v>4</v>
      </c>
      <c r="AL78">
        <v>60</v>
      </c>
      <c r="AN78">
        <v>400</v>
      </c>
      <c r="AO78">
        <v>400</v>
      </c>
      <c r="AP78" s="40" t="s">
        <v>658</v>
      </c>
      <c r="AR78" s="43" t="s">
        <v>661</v>
      </c>
      <c r="AS78" s="50">
        <f t="shared" si="45"/>
        <v>353.66666666666669</v>
      </c>
      <c r="AT78" s="42">
        <f>(4.5*387*8+4.51*287*4)*10*9.8/(387*8+287*4)</f>
        <v>441.26508953817154</v>
      </c>
      <c r="AU78" s="42">
        <f>(1942*387*8+1983*287*4)/100*9.8/(387*8+287*4)</f>
        <v>191.40286710650332</v>
      </c>
      <c r="AV78" t="s">
        <v>496</v>
      </c>
      <c r="AW78">
        <v>50</v>
      </c>
      <c r="AX78" s="1">
        <v>4</v>
      </c>
      <c r="AY78">
        <v>9.5299999999999994</v>
      </c>
      <c r="AZ78">
        <v>71.3</v>
      </c>
      <c r="BA78">
        <f>3.5*9.8*10</f>
        <v>343.00000000000006</v>
      </c>
      <c r="BB78">
        <f>1836*9.8/100</f>
        <v>179.92800000000003</v>
      </c>
      <c r="BC78">
        <v>4</v>
      </c>
      <c r="BD78">
        <v>45</v>
      </c>
      <c r="BE78">
        <v>2</v>
      </c>
      <c r="BF78">
        <v>92.5</v>
      </c>
      <c r="BG78">
        <v>4</v>
      </c>
      <c r="BH78">
        <v>45</v>
      </c>
      <c r="BI78">
        <v>2</v>
      </c>
      <c r="BJ78">
        <v>92.5</v>
      </c>
      <c r="BL78" s="30">
        <v>0</v>
      </c>
      <c r="BM78" t="s">
        <v>497</v>
      </c>
      <c r="BN78" s="7" t="s">
        <v>664</v>
      </c>
      <c r="BP78" s="30">
        <v>50</v>
      </c>
      <c r="BQ78">
        <v>6</v>
      </c>
      <c r="BR78" s="2">
        <v>24</v>
      </c>
      <c r="BS78">
        <f>6.94*9.8*10</f>
        <v>680.12000000000012</v>
      </c>
      <c r="BT78">
        <f>1943*9.8/100</f>
        <v>190.41400000000002</v>
      </c>
      <c r="BU78" s="23">
        <v>1</v>
      </c>
    </row>
    <row r="79" spans="1:73" ht="37.5">
      <c r="A79">
        <v>74</v>
      </c>
      <c r="B79" s="1">
        <v>1</v>
      </c>
      <c r="G79" t="s">
        <v>484</v>
      </c>
      <c r="H79" s="1" t="s">
        <v>488</v>
      </c>
      <c r="I79">
        <f>904*9.8/100</f>
        <v>88.592000000000013</v>
      </c>
      <c r="J79">
        <f>957*9.8/100</f>
        <v>93.786000000000001</v>
      </c>
      <c r="K79">
        <f>904*9.8/100</f>
        <v>88.592000000000013</v>
      </c>
      <c r="L79">
        <v>2800</v>
      </c>
      <c r="M79">
        <v>1800</v>
      </c>
      <c r="N79" s="7">
        <v>0</v>
      </c>
      <c r="O79">
        <f>150*9.8*40*40/1000</f>
        <v>2352</v>
      </c>
      <c r="P79">
        <v>300</v>
      </c>
      <c r="Q79">
        <v>400</v>
      </c>
      <c r="R79" t="s">
        <v>493</v>
      </c>
      <c r="S79" s="30" t="s">
        <v>655</v>
      </c>
      <c r="T79" s="1">
        <v>22.2</v>
      </c>
      <c r="U79" s="1">
        <v>387</v>
      </c>
      <c r="V79" s="1">
        <f>6.16*9.8*10</f>
        <v>603.68000000000006</v>
      </c>
      <c r="W79" s="1">
        <f>1940*9.8/100</f>
        <v>190.12</v>
      </c>
      <c r="X79" t="s">
        <v>494</v>
      </c>
      <c r="Y79">
        <v>50</v>
      </c>
      <c r="Z79" s="1">
        <v>4</v>
      </c>
      <c r="AA79">
        <v>6.35</v>
      </c>
      <c r="AB79">
        <v>31.7</v>
      </c>
      <c r="AC79">
        <f>8.43*9.8*10</f>
        <v>826.1400000000001</v>
      </c>
      <c r="AD79">
        <f>1969*9.8/100</f>
        <v>192.96200000000002</v>
      </c>
      <c r="AE79">
        <v>4</v>
      </c>
      <c r="AF79">
        <v>45</v>
      </c>
      <c r="AG79">
        <v>4</v>
      </c>
      <c r="AH79">
        <v>60</v>
      </c>
      <c r="AI79">
        <v>4</v>
      </c>
      <c r="AJ79">
        <v>45</v>
      </c>
      <c r="AK79">
        <v>4</v>
      </c>
      <c r="AL79">
        <v>60</v>
      </c>
      <c r="AN79">
        <v>400</v>
      </c>
      <c r="AO79">
        <v>400</v>
      </c>
      <c r="AP79" s="40" t="s">
        <v>656</v>
      </c>
      <c r="AQ79" s="30" t="s">
        <v>655</v>
      </c>
      <c r="AR79" s="43" t="s">
        <v>660</v>
      </c>
      <c r="AS79" s="50">
        <f t="shared" si="45"/>
        <v>353.66666666666669</v>
      </c>
      <c r="AT79" s="42">
        <f>(6.16*387*8+6.47*287*4)*10*9.8/(387*8+287*4)</f>
        <v>611.8977756833176</v>
      </c>
      <c r="AU79" s="42">
        <f>(1940*387*8+1925*287*4)/100*9.8/(387*8+287*4)</f>
        <v>189.7223656927427</v>
      </c>
      <c r="AV79" t="s">
        <v>153</v>
      </c>
      <c r="AW79">
        <v>50</v>
      </c>
      <c r="AX79" s="1">
        <v>4</v>
      </c>
      <c r="AY79">
        <v>9.5299999999999994</v>
      </c>
      <c r="AZ79">
        <v>71.3</v>
      </c>
      <c r="BA79">
        <f>3.5*9.8*10</f>
        <v>343.00000000000006</v>
      </c>
      <c r="BB79">
        <f>1836*9.8/100</f>
        <v>179.92800000000003</v>
      </c>
      <c r="BC79">
        <v>4</v>
      </c>
      <c r="BD79">
        <v>45</v>
      </c>
      <c r="BE79">
        <v>2</v>
      </c>
      <c r="BF79">
        <v>92.5</v>
      </c>
      <c r="BG79">
        <v>4</v>
      </c>
      <c r="BH79">
        <v>45</v>
      </c>
      <c r="BI79">
        <v>2</v>
      </c>
      <c r="BJ79">
        <v>92.5</v>
      </c>
      <c r="BL79" s="30">
        <v>0</v>
      </c>
      <c r="BM79" t="s">
        <v>497</v>
      </c>
      <c r="BN79" s="7" t="s">
        <v>663</v>
      </c>
      <c r="BP79" s="30">
        <v>50</v>
      </c>
      <c r="BQ79">
        <v>6</v>
      </c>
      <c r="BR79" s="2">
        <v>24</v>
      </c>
      <c r="BS79">
        <f>6.94*9.8*10</f>
        <v>680.12000000000012</v>
      </c>
      <c r="BT79">
        <f>1943*9.8/100</f>
        <v>190.41400000000002</v>
      </c>
      <c r="BU79" s="23">
        <v>1</v>
      </c>
    </row>
    <row r="80" spans="1:73" ht="37.5">
      <c r="A80">
        <v>75</v>
      </c>
      <c r="B80" s="1">
        <v>1</v>
      </c>
      <c r="G80" t="s">
        <v>484</v>
      </c>
      <c r="H80" s="1" t="s">
        <v>489</v>
      </c>
      <c r="I80">
        <f>1192*9.8/100</f>
        <v>116.816</v>
      </c>
      <c r="J80">
        <f>1097*9.8/100</f>
        <v>107.506</v>
      </c>
      <c r="K80">
        <f>1192*9.8/100</f>
        <v>116.816</v>
      </c>
      <c r="L80">
        <v>2800</v>
      </c>
      <c r="M80">
        <v>1800</v>
      </c>
      <c r="N80" s="7">
        <v>0</v>
      </c>
      <c r="O80">
        <f>150*9.8*40*40/1000</f>
        <v>2352</v>
      </c>
      <c r="P80">
        <v>300</v>
      </c>
      <c r="Q80">
        <v>400</v>
      </c>
      <c r="R80" s="40" t="s">
        <v>654</v>
      </c>
      <c r="S80" s="30" t="s">
        <v>655</v>
      </c>
      <c r="T80" s="41">
        <f>(19.1+15.9)/2</f>
        <v>17.5</v>
      </c>
      <c r="U80" s="41">
        <f>(287*4+199*4)/(4+4)</f>
        <v>243</v>
      </c>
      <c r="V80" s="42">
        <f>(6.47*287*4+6.23*199*4)*10*9.8/(287*4+199*4)</f>
        <v>624.42938271604942</v>
      </c>
      <c r="W80" s="42">
        <f>(1925*287*4+1759*199*4)/100*9.8/(287*4+199*4)</f>
        <v>181.98882304526748</v>
      </c>
      <c r="X80" t="s">
        <v>495</v>
      </c>
      <c r="Y80">
        <v>60</v>
      </c>
      <c r="Z80" s="1">
        <v>4</v>
      </c>
      <c r="AA80">
        <v>6.35</v>
      </c>
      <c r="AB80">
        <v>31.7</v>
      </c>
      <c r="AC80">
        <f>8.43*9.8*10</f>
        <v>826.1400000000001</v>
      </c>
      <c r="AD80">
        <f>1969*9.8/100</f>
        <v>192.96200000000002</v>
      </c>
      <c r="AE80">
        <v>4</v>
      </c>
      <c r="AF80">
        <v>45</v>
      </c>
      <c r="AG80">
        <v>4</v>
      </c>
      <c r="AH80">
        <v>60</v>
      </c>
      <c r="AI80">
        <v>4</v>
      </c>
      <c r="AJ80">
        <v>45</v>
      </c>
      <c r="AK80">
        <v>4</v>
      </c>
      <c r="AL80">
        <v>60</v>
      </c>
      <c r="AN80">
        <v>400</v>
      </c>
      <c r="AO80">
        <v>400</v>
      </c>
      <c r="AP80" s="40" t="s">
        <v>657</v>
      </c>
      <c r="AQ80" s="30" t="s">
        <v>662</v>
      </c>
      <c r="AR80" s="43" t="s">
        <v>660</v>
      </c>
      <c r="AS80" s="50">
        <f t="shared" si="45"/>
        <v>353.66666666666669</v>
      </c>
      <c r="AT80" s="42">
        <f>(6.16*387*8+6.47*287*4)*10*9.8/(387*8+287*4)</f>
        <v>611.8977756833176</v>
      </c>
      <c r="AU80" s="42">
        <f>(1940*387*8+1925*287*4)/100*9.8/(387*8+287*4)</f>
        <v>189.7223656927427</v>
      </c>
      <c r="AV80" t="s">
        <v>153</v>
      </c>
      <c r="AW80">
        <v>50</v>
      </c>
      <c r="AX80" s="1">
        <v>4</v>
      </c>
      <c r="AY80">
        <v>9.5299999999999994</v>
      </c>
      <c r="AZ80">
        <v>71.3</v>
      </c>
      <c r="BA80">
        <f>3.5*9.8*10</f>
        <v>343.00000000000006</v>
      </c>
      <c r="BB80">
        <f>1836*9.8/100</f>
        <v>179.92800000000003</v>
      </c>
      <c r="BC80">
        <v>4</v>
      </c>
      <c r="BD80">
        <v>45</v>
      </c>
      <c r="BE80">
        <v>2</v>
      </c>
      <c r="BF80">
        <v>92.5</v>
      </c>
      <c r="BG80">
        <v>4</v>
      </c>
      <c r="BH80">
        <v>45</v>
      </c>
      <c r="BI80">
        <v>2</v>
      </c>
      <c r="BJ80">
        <v>92.5</v>
      </c>
      <c r="BL80" s="30">
        <v>0</v>
      </c>
      <c r="BM80" t="s">
        <v>497</v>
      </c>
      <c r="BN80" s="7" t="s">
        <v>663</v>
      </c>
      <c r="BP80" s="30">
        <v>50</v>
      </c>
      <c r="BQ80">
        <v>6</v>
      </c>
      <c r="BR80" s="2">
        <v>24</v>
      </c>
      <c r="BS80">
        <f>6.94*9.8*10</f>
        <v>680.12000000000012</v>
      </c>
      <c r="BT80">
        <f>1943*9.8/100</f>
        <v>190.41400000000002</v>
      </c>
      <c r="BU80" s="23">
        <v>1</v>
      </c>
    </row>
    <row r="81" spans="1:74" ht="37.5">
      <c r="A81">
        <v>76</v>
      </c>
      <c r="B81" s="1">
        <v>1</v>
      </c>
      <c r="G81" t="s">
        <v>484</v>
      </c>
      <c r="H81" s="1" t="s">
        <v>490</v>
      </c>
      <c r="I81">
        <f>1192*9.8/100</f>
        <v>116.816</v>
      </c>
      <c r="J81">
        <f>1097*9.8/100</f>
        <v>107.506</v>
      </c>
      <c r="K81">
        <f>1192*9.8/100</f>
        <v>116.816</v>
      </c>
      <c r="L81">
        <v>2800</v>
      </c>
      <c r="M81">
        <v>1800</v>
      </c>
      <c r="N81" s="7">
        <v>0</v>
      </c>
      <c r="O81">
        <f>150*9.8*40*40/1000</f>
        <v>2352</v>
      </c>
      <c r="P81">
        <v>300</v>
      </c>
      <c r="Q81">
        <v>400</v>
      </c>
      <c r="R81" t="s">
        <v>493</v>
      </c>
      <c r="S81" s="30" t="s">
        <v>655</v>
      </c>
      <c r="T81" s="1">
        <v>22.2</v>
      </c>
      <c r="U81" s="1">
        <v>387</v>
      </c>
      <c r="V81" s="1">
        <f>6.16*9.8*10</f>
        <v>603.68000000000006</v>
      </c>
      <c r="W81" s="1">
        <f>1940*9.8/100</f>
        <v>190.12</v>
      </c>
      <c r="X81" t="s">
        <v>494</v>
      </c>
      <c r="Y81">
        <v>50</v>
      </c>
      <c r="Z81" s="1">
        <v>4</v>
      </c>
      <c r="AA81">
        <v>6.35</v>
      </c>
      <c r="AB81">
        <v>31.7</v>
      </c>
      <c r="AC81">
        <f>8.43*9.8*10</f>
        <v>826.1400000000001</v>
      </c>
      <c r="AD81">
        <f>1969*9.8/100</f>
        <v>192.96200000000002</v>
      </c>
      <c r="AE81">
        <v>4</v>
      </c>
      <c r="AF81">
        <v>45</v>
      </c>
      <c r="AG81">
        <v>4</v>
      </c>
      <c r="AH81">
        <v>60</v>
      </c>
      <c r="AI81">
        <v>4</v>
      </c>
      <c r="AJ81">
        <v>45</v>
      </c>
      <c r="AK81">
        <v>4</v>
      </c>
      <c r="AL81">
        <v>60</v>
      </c>
      <c r="AN81">
        <v>400</v>
      </c>
      <c r="AO81">
        <v>400</v>
      </c>
      <c r="AP81" s="40" t="s">
        <v>659</v>
      </c>
      <c r="AQ81" s="30" t="s">
        <v>655</v>
      </c>
      <c r="AR81" s="43" t="s">
        <v>660</v>
      </c>
      <c r="AS81" s="50">
        <f t="shared" si="45"/>
        <v>353.66666666666669</v>
      </c>
      <c r="AT81" s="42">
        <f>(6.16*387*8+6.47*287*4)*10*9.8/(387*8+287*4)</f>
        <v>611.8977756833176</v>
      </c>
      <c r="AU81" s="42">
        <f>(1940*387*8+1925*287*4)/100*9.8/(387*8+287*4)</f>
        <v>189.7223656927427</v>
      </c>
      <c r="AV81" t="s">
        <v>153</v>
      </c>
      <c r="AW81">
        <v>50</v>
      </c>
      <c r="AX81" s="1">
        <v>4</v>
      </c>
      <c r="AY81">
        <v>9.5299999999999994</v>
      </c>
      <c r="AZ81">
        <v>71.3</v>
      </c>
      <c r="BA81">
        <f>3.5*9.8*10</f>
        <v>343.00000000000006</v>
      </c>
      <c r="BB81">
        <f>1836*9.8/100</f>
        <v>179.92800000000003</v>
      </c>
      <c r="BC81">
        <v>4</v>
      </c>
      <c r="BD81">
        <v>45</v>
      </c>
      <c r="BE81">
        <v>2</v>
      </c>
      <c r="BF81">
        <v>92.5</v>
      </c>
      <c r="BG81">
        <v>4</v>
      </c>
      <c r="BH81">
        <v>45</v>
      </c>
      <c r="BI81">
        <v>2</v>
      </c>
      <c r="BJ81">
        <v>92.5</v>
      </c>
      <c r="BL81" s="30">
        <v>0</v>
      </c>
      <c r="BM81" t="s">
        <v>497</v>
      </c>
      <c r="BN81" s="7" t="s">
        <v>663</v>
      </c>
      <c r="BP81" s="30">
        <v>50</v>
      </c>
      <c r="BQ81">
        <v>6</v>
      </c>
      <c r="BR81" s="2">
        <v>24</v>
      </c>
      <c r="BS81">
        <f>6.94*9.8*10</f>
        <v>680.12000000000012</v>
      </c>
      <c r="BT81">
        <f>1943*9.8/100</f>
        <v>190.41400000000002</v>
      </c>
      <c r="BU81" s="23">
        <v>1</v>
      </c>
    </row>
    <row r="82" spans="1:74" ht="37.5">
      <c r="A82">
        <v>77</v>
      </c>
      <c r="B82" s="1">
        <v>1</v>
      </c>
      <c r="C82">
        <v>20</v>
      </c>
      <c r="D82" t="s">
        <v>46</v>
      </c>
      <c r="E82">
        <v>1990</v>
      </c>
      <c r="F82" t="s">
        <v>33</v>
      </c>
      <c r="G82" t="s">
        <v>405</v>
      </c>
      <c r="H82" s="1" t="s">
        <v>500</v>
      </c>
      <c r="I82">
        <f>522*9.8/100</f>
        <v>51.156000000000006</v>
      </c>
      <c r="J82">
        <f>522*9.8/100</f>
        <v>51.156000000000006</v>
      </c>
      <c r="K82">
        <f>522*9.8/100</f>
        <v>51.156000000000006</v>
      </c>
      <c r="L82">
        <v>2750</v>
      </c>
      <c r="M82">
        <v>1450</v>
      </c>
      <c r="N82" s="7">
        <v>0</v>
      </c>
      <c r="O82">
        <f>140*9.8</f>
        <v>1372</v>
      </c>
      <c r="P82">
        <v>350</v>
      </c>
      <c r="Q82">
        <v>425</v>
      </c>
      <c r="R82" s="40" t="s">
        <v>665</v>
      </c>
      <c r="T82" s="43">
        <f>(22.2+19.1)/2</f>
        <v>20.65</v>
      </c>
      <c r="U82" s="43">
        <f>(387*4+287*4)/(4+4)</f>
        <v>337</v>
      </c>
      <c r="V82" s="42">
        <f>(4570*387*4+4700*287*4)/100*9.8/(387*4+287*4)</f>
        <v>453.28489614243324</v>
      </c>
      <c r="W82" s="42">
        <f>(1880*387*4+1890*287*4)/100*9.8/(387*4+287*4)</f>
        <v>184.6572997032641</v>
      </c>
      <c r="X82" t="s">
        <v>505</v>
      </c>
      <c r="Y82">
        <v>35</v>
      </c>
      <c r="Z82">
        <v>4</v>
      </c>
      <c r="AA82">
        <v>7.94</v>
      </c>
      <c r="AB82">
        <v>50</v>
      </c>
      <c r="AC82">
        <f>3660*9.8/100</f>
        <v>358.68</v>
      </c>
      <c r="AD82">
        <f>1670*9.8/100</f>
        <v>163.66000000000003</v>
      </c>
      <c r="AE82">
        <v>4</v>
      </c>
      <c r="AF82" s="16">
        <v>60</v>
      </c>
      <c r="AG82">
        <v>4</v>
      </c>
      <c r="AH82" s="16">
        <f>2.5*(22+19)/2</f>
        <v>51.25</v>
      </c>
      <c r="AI82">
        <v>4</v>
      </c>
      <c r="AJ82" s="16">
        <v>60</v>
      </c>
      <c r="AK82">
        <v>4</v>
      </c>
      <c r="AL82" s="16">
        <f>2.5*(22+19)/2</f>
        <v>51.25</v>
      </c>
      <c r="AN82">
        <v>475</v>
      </c>
      <c r="AO82">
        <v>475</v>
      </c>
      <c r="AP82" s="40" t="s">
        <v>667</v>
      </c>
      <c r="AR82" s="43" t="s">
        <v>661</v>
      </c>
      <c r="AS82" s="50">
        <f t="shared" si="45"/>
        <v>353.66666666666669</v>
      </c>
      <c r="AT82" s="42">
        <f>(4570*387*8+4700*287*8)/100*9.8/(387*8+287*8)</f>
        <v>453.28489614243324</v>
      </c>
      <c r="AU82" s="42">
        <f>(1880*387*8+1890*287*8)/100*9.8/(387*8+287*8)</f>
        <v>184.6572997032641</v>
      </c>
      <c r="AV82" t="s">
        <v>668</v>
      </c>
      <c r="AW82">
        <v>42.5</v>
      </c>
      <c r="AX82">
        <v>5</v>
      </c>
      <c r="AY82">
        <v>7.94</v>
      </c>
      <c r="AZ82">
        <v>50</v>
      </c>
      <c r="BA82">
        <f>3660*9.8/100</f>
        <v>358.68</v>
      </c>
      <c r="BB82">
        <f>1670*9.8/100</f>
        <v>163.66000000000003</v>
      </c>
      <c r="BC82">
        <v>5</v>
      </c>
      <c r="BD82" s="16">
        <v>50</v>
      </c>
      <c r="BE82">
        <v>2</v>
      </c>
      <c r="BF82" s="16">
        <f>2.5*(22+19)/2</f>
        <v>51.25</v>
      </c>
      <c r="BG82">
        <v>5</v>
      </c>
      <c r="BH82" s="16">
        <v>50</v>
      </c>
      <c r="BI82">
        <v>2</v>
      </c>
      <c r="BJ82" s="16">
        <f>2.5*(22+19)/2</f>
        <v>51.25</v>
      </c>
      <c r="BL82" s="30">
        <v>2</v>
      </c>
      <c r="BM82" t="s">
        <v>507</v>
      </c>
      <c r="BN82" s="7" t="s">
        <v>670</v>
      </c>
      <c r="BP82" s="30">
        <v>50</v>
      </c>
      <c r="BQ82" s="16">
        <v>4</v>
      </c>
      <c r="BR82" s="16">
        <v>20</v>
      </c>
      <c r="BS82">
        <f>3660*9.8/100</f>
        <v>358.68</v>
      </c>
      <c r="BT82">
        <f>1670*9.8/100</f>
        <v>163.66000000000003</v>
      </c>
      <c r="BU82" s="23">
        <v>1.23</v>
      </c>
      <c r="BV82" t="s">
        <v>666</v>
      </c>
    </row>
    <row r="83" spans="1:74">
      <c r="A83">
        <v>78</v>
      </c>
      <c r="B83" s="1">
        <v>1</v>
      </c>
      <c r="C83" s="17"/>
      <c r="D83" s="17"/>
      <c r="E83" s="17"/>
      <c r="F83" s="17"/>
      <c r="G83" s="17" t="s">
        <v>559</v>
      </c>
      <c r="H83" s="7" t="s">
        <v>501</v>
      </c>
      <c r="I83">
        <f>328*9.8/100</f>
        <v>32.143999999999998</v>
      </c>
      <c r="J83">
        <f>328*9.8/100</f>
        <v>32.143999999999998</v>
      </c>
      <c r="K83">
        <f>328*9.8/100</f>
        <v>32.143999999999998</v>
      </c>
      <c r="L83">
        <v>2750</v>
      </c>
      <c r="M83">
        <v>1400</v>
      </c>
      <c r="N83" s="7">
        <v>0</v>
      </c>
      <c r="O83">
        <f>77*9.8</f>
        <v>754.6</v>
      </c>
      <c r="P83">
        <v>300</v>
      </c>
      <c r="Q83">
        <v>375</v>
      </c>
      <c r="R83" s="17" t="s">
        <v>504</v>
      </c>
      <c r="S83" s="31"/>
      <c r="T83">
        <v>19.100000000000001</v>
      </c>
      <c r="U83">
        <v>287</v>
      </c>
      <c r="V83" s="1">
        <f>4700*9.8/100</f>
        <v>460.6</v>
      </c>
      <c r="W83" s="1">
        <f>1890*9/100</f>
        <v>170.1</v>
      </c>
      <c r="X83" t="s">
        <v>505</v>
      </c>
      <c r="Y83">
        <v>35</v>
      </c>
      <c r="Z83">
        <v>4</v>
      </c>
      <c r="AA83">
        <v>7.94</v>
      </c>
      <c r="AB83">
        <v>50</v>
      </c>
      <c r="AC83">
        <f>3660*9.8/100</f>
        <v>358.68</v>
      </c>
      <c r="AD83">
        <f>1670*9.8/100</f>
        <v>163.66000000000003</v>
      </c>
      <c r="AE83" s="17">
        <v>4</v>
      </c>
      <c r="AF83" s="16">
        <v>60</v>
      </c>
      <c r="AG83">
        <v>4</v>
      </c>
      <c r="AH83" s="16">
        <f>2.5*19</f>
        <v>47.5</v>
      </c>
      <c r="AI83">
        <v>4</v>
      </c>
      <c r="AJ83" s="16">
        <v>60</v>
      </c>
      <c r="AK83">
        <v>4</v>
      </c>
      <c r="AL83" s="16">
        <f>2.5*19</f>
        <v>47.5</v>
      </c>
      <c r="AM83" s="31"/>
      <c r="AN83">
        <v>425</v>
      </c>
      <c r="AO83">
        <v>425</v>
      </c>
      <c r="AP83" t="s">
        <v>504</v>
      </c>
      <c r="AQ83" s="31"/>
      <c r="AR83">
        <v>19.100000000000001</v>
      </c>
      <c r="AS83">
        <v>287</v>
      </c>
      <c r="AT83">
        <f>4700*9.8/100</f>
        <v>460.6</v>
      </c>
      <c r="AU83">
        <f>1890*9.8/100</f>
        <v>185.22</v>
      </c>
      <c r="AV83" s="17" t="s">
        <v>505</v>
      </c>
      <c r="AW83">
        <v>42.5</v>
      </c>
      <c r="AX83" s="17">
        <v>5</v>
      </c>
      <c r="AY83" s="17">
        <v>7.94</v>
      </c>
      <c r="AZ83" s="17">
        <v>50</v>
      </c>
      <c r="BA83" s="17">
        <f>3660*9.8/100</f>
        <v>358.68</v>
      </c>
      <c r="BB83" s="17">
        <f>1670*9.8/100</f>
        <v>163.66000000000003</v>
      </c>
      <c r="BC83">
        <v>5</v>
      </c>
      <c r="BD83" s="16">
        <v>50</v>
      </c>
      <c r="BE83">
        <v>2</v>
      </c>
      <c r="BF83" s="16">
        <f>2.5*19</f>
        <v>47.5</v>
      </c>
      <c r="BG83">
        <v>5</v>
      </c>
      <c r="BH83" s="16">
        <v>50</v>
      </c>
      <c r="BI83">
        <v>2</v>
      </c>
      <c r="BJ83" s="16">
        <f>2.5*19</f>
        <v>47.5</v>
      </c>
      <c r="BK83" s="31"/>
      <c r="BL83" s="31">
        <v>2</v>
      </c>
      <c r="BM83" s="17" t="s">
        <v>507</v>
      </c>
      <c r="BN83" s="7" t="s">
        <v>671</v>
      </c>
      <c r="BO83" s="31"/>
      <c r="BP83" s="31">
        <v>50</v>
      </c>
      <c r="BQ83" s="96">
        <v>4</v>
      </c>
      <c r="BR83" s="96">
        <v>20</v>
      </c>
      <c r="BS83">
        <f>3660*9.8/100</f>
        <v>358.68</v>
      </c>
      <c r="BT83">
        <f>1670*9.8/100</f>
        <v>163.66000000000003</v>
      </c>
      <c r="BU83" s="23">
        <v>1.37</v>
      </c>
      <c r="BV83" s="17" t="s">
        <v>666</v>
      </c>
    </row>
    <row r="84" spans="1:74">
      <c r="A84">
        <v>79</v>
      </c>
      <c r="B84" s="1">
        <v>1</v>
      </c>
      <c r="G84" t="s">
        <v>558</v>
      </c>
      <c r="H84" s="1" t="s">
        <v>502</v>
      </c>
      <c r="I84">
        <f>332*9.8/100</f>
        <v>32.536000000000001</v>
      </c>
      <c r="J84">
        <f>332*9.8/100</f>
        <v>32.536000000000001</v>
      </c>
      <c r="K84">
        <f>332*9.8/100</f>
        <v>32.536000000000001</v>
      </c>
      <c r="L84">
        <v>2750</v>
      </c>
      <c r="M84">
        <v>1400</v>
      </c>
      <c r="N84" s="7">
        <v>0</v>
      </c>
      <c r="O84">
        <f>77*9.8</f>
        <v>754.6</v>
      </c>
      <c r="P84">
        <v>300</v>
      </c>
      <c r="Q84">
        <v>375</v>
      </c>
      <c r="R84" t="s">
        <v>504</v>
      </c>
      <c r="T84">
        <v>19.100000000000001</v>
      </c>
      <c r="U84">
        <v>287</v>
      </c>
      <c r="V84" s="1">
        <f>4700*9.8/100</f>
        <v>460.6</v>
      </c>
      <c r="W84" s="1">
        <f>1890*9/100</f>
        <v>170.1</v>
      </c>
      <c r="X84" t="s">
        <v>505</v>
      </c>
      <c r="Y84">
        <v>35</v>
      </c>
      <c r="Z84">
        <v>4</v>
      </c>
      <c r="AA84">
        <v>7.94</v>
      </c>
      <c r="AB84">
        <v>50</v>
      </c>
      <c r="AC84">
        <f>3660*9.8/100</f>
        <v>358.68</v>
      </c>
      <c r="AD84">
        <f>1670*9.8/100</f>
        <v>163.66000000000003</v>
      </c>
      <c r="AE84">
        <v>4</v>
      </c>
      <c r="AF84" s="16">
        <v>60</v>
      </c>
      <c r="AG84">
        <v>4</v>
      </c>
      <c r="AH84" s="16">
        <f>2.5*19</f>
        <v>47.5</v>
      </c>
      <c r="AI84">
        <v>4</v>
      </c>
      <c r="AJ84" s="16">
        <v>60</v>
      </c>
      <c r="AK84">
        <v>4</v>
      </c>
      <c r="AL84" s="16">
        <f>2.5*19</f>
        <v>47.5</v>
      </c>
      <c r="AN84">
        <v>425</v>
      </c>
      <c r="AO84">
        <v>425</v>
      </c>
      <c r="AP84" t="s">
        <v>504</v>
      </c>
      <c r="AR84">
        <v>19.100000000000001</v>
      </c>
      <c r="AS84">
        <v>287</v>
      </c>
      <c r="AT84">
        <f>4700*9.8/100</f>
        <v>460.6</v>
      </c>
      <c r="AU84">
        <f>1890*9.8/100</f>
        <v>185.22</v>
      </c>
      <c r="AV84" t="s">
        <v>505</v>
      </c>
      <c r="AW84">
        <v>35</v>
      </c>
      <c r="AX84">
        <v>4</v>
      </c>
      <c r="AY84">
        <v>7.94</v>
      </c>
      <c r="AZ84">
        <v>50</v>
      </c>
      <c r="BA84">
        <f>3660*9.8/100</f>
        <v>358.68</v>
      </c>
      <c r="BB84">
        <f>1670*9.8/100</f>
        <v>163.66000000000003</v>
      </c>
      <c r="BC84">
        <v>5</v>
      </c>
      <c r="BD84" s="16">
        <v>50</v>
      </c>
      <c r="BE84">
        <v>2</v>
      </c>
      <c r="BF84" s="16">
        <f>2.5*19</f>
        <v>47.5</v>
      </c>
      <c r="BG84">
        <v>5</v>
      </c>
      <c r="BH84" s="16">
        <v>50</v>
      </c>
      <c r="BI84">
        <v>2</v>
      </c>
      <c r="BJ84" s="16">
        <f>2.5*19</f>
        <v>47.5</v>
      </c>
      <c r="BL84" s="30">
        <v>2</v>
      </c>
      <c r="BM84" s="98" t="s">
        <v>951</v>
      </c>
      <c r="BN84" s="7" t="s">
        <v>670</v>
      </c>
      <c r="BP84" s="30">
        <v>50</v>
      </c>
      <c r="BQ84" s="16">
        <v>4</v>
      </c>
      <c r="BR84" s="16">
        <v>16</v>
      </c>
      <c r="BS84">
        <f>3660*9.8/100</f>
        <v>358.68</v>
      </c>
      <c r="BT84">
        <f>1670*9.8/100</f>
        <v>163.66000000000003</v>
      </c>
      <c r="BU84" s="23">
        <v>1.33</v>
      </c>
      <c r="BV84" t="s">
        <v>666</v>
      </c>
    </row>
    <row r="85" spans="1:74">
      <c r="A85">
        <v>80</v>
      </c>
      <c r="B85" s="1">
        <v>1</v>
      </c>
      <c r="G85" t="s">
        <v>559</v>
      </c>
      <c r="H85" s="1" t="s">
        <v>503</v>
      </c>
      <c r="I85">
        <f>351*9.8/100</f>
        <v>34.398000000000003</v>
      </c>
      <c r="J85">
        <f>351*9.8/100</f>
        <v>34.398000000000003</v>
      </c>
      <c r="K85">
        <f>351*9.8/100</f>
        <v>34.398000000000003</v>
      </c>
      <c r="L85">
        <v>2750</v>
      </c>
      <c r="M85">
        <v>1400</v>
      </c>
      <c r="N85" s="7">
        <v>0</v>
      </c>
      <c r="O85">
        <f>77*9.8</f>
        <v>754.6</v>
      </c>
      <c r="P85">
        <v>300</v>
      </c>
      <c r="Q85">
        <v>375</v>
      </c>
      <c r="R85" t="s">
        <v>504</v>
      </c>
      <c r="T85">
        <v>19.100000000000001</v>
      </c>
      <c r="U85">
        <v>287</v>
      </c>
      <c r="V85" s="1">
        <f>4700*9.8/100</f>
        <v>460.6</v>
      </c>
      <c r="W85" s="1">
        <f>1890*9/100</f>
        <v>170.1</v>
      </c>
      <c r="X85" t="s">
        <v>505</v>
      </c>
      <c r="Y85">
        <v>35</v>
      </c>
      <c r="Z85">
        <v>4</v>
      </c>
      <c r="AA85">
        <v>7.94</v>
      </c>
      <c r="AB85">
        <v>50</v>
      </c>
      <c r="AC85">
        <f>3660*9.8/100</f>
        <v>358.68</v>
      </c>
      <c r="AD85">
        <f>1670*9.8/100</f>
        <v>163.66000000000003</v>
      </c>
      <c r="AE85">
        <v>4</v>
      </c>
      <c r="AF85" s="16">
        <v>60</v>
      </c>
      <c r="AG85">
        <v>4</v>
      </c>
      <c r="AH85" s="16">
        <f>2.5*19</f>
        <v>47.5</v>
      </c>
      <c r="AI85">
        <v>4</v>
      </c>
      <c r="AJ85" s="16">
        <v>60</v>
      </c>
      <c r="AK85">
        <v>4</v>
      </c>
      <c r="AL85" s="16">
        <f>2.5*19</f>
        <v>47.5</v>
      </c>
      <c r="AN85">
        <v>425</v>
      </c>
      <c r="AO85">
        <v>425</v>
      </c>
      <c r="AP85" t="s">
        <v>504</v>
      </c>
      <c r="AR85">
        <v>19.100000000000001</v>
      </c>
      <c r="AS85">
        <v>287</v>
      </c>
      <c r="AT85">
        <f>4700*9.8/100</f>
        <v>460.6</v>
      </c>
      <c r="AU85">
        <f>1890*9.8/100</f>
        <v>185.22</v>
      </c>
      <c r="AV85" t="s">
        <v>506</v>
      </c>
      <c r="AW85">
        <v>35</v>
      </c>
      <c r="AX85">
        <v>4</v>
      </c>
      <c r="AY85">
        <v>7.94</v>
      </c>
      <c r="AZ85">
        <v>50</v>
      </c>
      <c r="BA85">
        <f>3660*9.8/100</f>
        <v>358.68</v>
      </c>
      <c r="BB85">
        <f>1670*9.8/100</f>
        <v>163.66000000000003</v>
      </c>
      <c r="BC85">
        <v>5</v>
      </c>
      <c r="BD85" s="16">
        <v>50</v>
      </c>
      <c r="BE85">
        <v>2</v>
      </c>
      <c r="BF85" s="16">
        <f>2.5*19</f>
        <v>47.5</v>
      </c>
      <c r="BG85">
        <v>5</v>
      </c>
      <c r="BH85" s="16">
        <v>50</v>
      </c>
      <c r="BI85">
        <v>2</v>
      </c>
      <c r="BJ85" s="16">
        <f>2.5*19</f>
        <v>47.5</v>
      </c>
      <c r="BL85" s="30">
        <v>2</v>
      </c>
      <c r="BM85" t="s">
        <v>669</v>
      </c>
      <c r="BN85" s="7" t="s">
        <v>670</v>
      </c>
      <c r="BP85" s="30">
        <v>50</v>
      </c>
      <c r="BQ85" s="16">
        <v>4</v>
      </c>
      <c r="BR85" s="16">
        <v>8</v>
      </c>
      <c r="BS85">
        <f>3660*9.8/100</f>
        <v>358.68</v>
      </c>
      <c r="BT85">
        <f>1670*9.8/100</f>
        <v>163.66000000000003</v>
      </c>
      <c r="BU85" s="23">
        <v>0.67</v>
      </c>
      <c r="BV85" t="s">
        <v>666</v>
      </c>
    </row>
    <row r="86" spans="1:74" ht="37.5">
      <c r="A86">
        <v>81</v>
      </c>
      <c r="B86" s="1">
        <v>1</v>
      </c>
      <c r="C86">
        <v>21</v>
      </c>
      <c r="D86" t="s">
        <v>47</v>
      </c>
      <c r="E86">
        <v>1990</v>
      </c>
      <c r="F86" t="s">
        <v>33</v>
      </c>
      <c r="G86" t="s">
        <v>499</v>
      </c>
      <c r="H86" s="1" t="s">
        <v>718</v>
      </c>
      <c r="I86">
        <f t="shared" ref="I86:K88" si="46">238*9.8/100</f>
        <v>23.324000000000002</v>
      </c>
      <c r="J86">
        <f t="shared" si="46"/>
        <v>23.324000000000002</v>
      </c>
      <c r="K86">
        <f t="shared" si="46"/>
        <v>23.324000000000002</v>
      </c>
      <c r="L86">
        <v>2000</v>
      </c>
      <c r="M86">
        <v>1400</v>
      </c>
      <c r="N86" s="7">
        <v>0</v>
      </c>
      <c r="O86">
        <f>27*9.8</f>
        <v>264.60000000000002</v>
      </c>
      <c r="P86">
        <v>180</v>
      </c>
      <c r="Q86">
        <v>250</v>
      </c>
      <c r="R86" t="s">
        <v>508</v>
      </c>
      <c r="T86">
        <v>15.9</v>
      </c>
      <c r="U86">
        <v>199</v>
      </c>
      <c r="V86" s="1">
        <f>3806*9.8/100</f>
        <v>372.98800000000006</v>
      </c>
      <c r="W86" s="1">
        <f>1870*9.8/100</f>
        <v>183.26</v>
      </c>
      <c r="X86" t="s">
        <v>510</v>
      </c>
      <c r="Y86">
        <v>100</v>
      </c>
      <c r="Z86" s="2">
        <v>2</v>
      </c>
      <c r="AA86">
        <v>9</v>
      </c>
      <c r="AB86">
        <v>63.6</v>
      </c>
      <c r="AC86">
        <f>3307*9.8/100</f>
        <v>324.08600000000001</v>
      </c>
      <c r="AD86">
        <f>1974*9.8/100</f>
        <v>193.452</v>
      </c>
      <c r="AE86">
        <v>3</v>
      </c>
      <c r="AF86">
        <v>40</v>
      </c>
      <c r="AG86">
        <v>0</v>
      </c>
      <c r="AH86">
        <v>0</v>
      </c>
      <c r="AI86">
        <v>3</v>
      </c>
      <c r="AJ86">
        <v>40</v>
      </c>
      <c r="AK86">
        <v>0</v>
      </c>
      <c r="AL86">
        <v>0</v>
      </c>
      <c r="AN86">
        <v>250</v>
      </c>
      <c r="AO86">
        <v>250</v>
      </c>
      <c r="AP86" s="40" t="s">
        <v>672</v>
      </c>
      <c r="AR86" s="43" t="s">
        <v>673</v>
      </c>
      <c r="AS86" s="50">
        <f>(199*8+71.3*6)/(8+6)</f>
        <v>144.27142857142857</v>
      </c>
      <c r="AT86" s="42">
        <f>(3806*199*8+3775*71.3*6)/100*9.8/(199*8+71.3*6)</f>
        <v>372.3445420338648</v>
      </c>
      <c r="AU86" s="42">
        <f>(1870*199*8+1830*71.3*6)/100*9.8/(199*8+71.3*6)</f>
        <v>182.4297316565997</v>
      </c>
      <c r="AV86" t="s">
        <v>511</v>
      </c>
      <c r="AW86">
        <v>50</v>
      </c>
      <c r="AX86" s="2">
        <v>2</v>
      </c>
      <c r="AY86">
        <v>9</v>
      </c>
      <c r="AZ86">
        <v>63.6</v>
      </c>
      <c r="BA86">
        <f>3307*9.8/100</f>
        <v>324.08600000000001</v>
      </c>
      <c r="BB86">
        <f>1974*9.8/100</f>
        <v>193.452</v>
      </c>
      <c r="BC86">
        <v>4</v>
      </c>
      <c r="BD86" s="23">
        <v>40</v>
      </c>
      <c r="BE86">
        <v>2</v>
      </c>
      <c r="BF86" s="16">
        <f>2.5*10</f>
        <v>25</v>
      </c>
      <c r="BG86">
        <v>4</v>
      </c>
      <c r="BH86" s="23">
        <v>40</v>
      </c>
      <c r="BI86">
        <v>2</v>
      </c>
      <c r="BJ86" s="16">
        <f>2.5*10</f>
        <v>25</v>
      </c>
      <c r="BL86" s="30">
        <v>2</v>
      </c>
      <c r="BM86" t="s">
        <v>442</v>
      </c>
      <c r="BN86" s="7" t="s">
        <v>675</v>
      </c>
      <c r="BP86" s="30">
        <v>63.6</v>
      </c>
      <c r="BQ86" s="97">
        <v>3</v>
      </c>
      <c r="BR86" s="97">
        <v>6</v>
      </c>
      <c r="BS86">
        <f>3307*9.8/100</f>
        <v>324.08600000000001</v>
      </c>
      <c r="BT86">
        <f>1974*9.8/100</f>
        <v>193.452</v>
      </c>
      <c r="BU86" s="23">
        <v>0.83</v>
      </c>
    </row>
    <row r="87" spans="1:74">
      <c r="A87">
        <v>82</v>
      </c>
      <c r="B87" s="1">
        <v>1</v>
      </c>
      <c r="G87" t="s">
        <v>499</v>
      </c>
      <c r="H87" s="1" t="s">
        <v>635</v>
      </c>
      <c r="I87">
        <f t="shared" si="46"/>
        <v>23.324000000000002</v>
      </c>
      <c r="J87">
        <f t="shared" si="46"/>
        <v>23.324000000000002</v>
      </c>
      <c r="K87">
        <f t="shared" si="46"/>
        <v>23.324000000000002</v>
      </c>
      <c r="L87">
        <v>2000</v>
      </c>
      <c r="M87">
        <v>1400</v>
      </c>
      <c r="N87" s="7">
        <v>0</v>
      </c>
      <c r="O87">
        <f>27*9.8</f>
        <v>264.60000000000002</v>
      </c>
      <c r="P87">
        <v>180</v>
      </c>
      <c r="Q87">
        <v>250</v>
      </c>
      <c r="R87" t="s">
        <v>508</v>
      </c>
      <c r="T87">
        <v>15.9</v>
      </c>
      <c r="U87">
        <v>199</v>
      </c>
      <c r="V87" s="1">
        <f>3806*9.8/100</f>
        <v>372.98800000000006</v>
      </c>
      <c r="W87" s="1">
        <f>1870*9.8/100</f>
        <v>183.26</v>
      </c>
      <c r="X87" t="s">
        <v>511</v>
      </c>
      <c r="Y87">
        <v>100</v>
      </c>
      <c r="Z87" s="2">
        <v>2</v>
      </c>
      <c r="AA87">
        <v>9</v>
      </c>
      <c r="AB87">
        <v>63.6</v>
      </c>
      <c r="AC87">
        <f>3307*9.8/100</f>
        <v>324.08600000000001</v>
      </c>
      <c r="AD87">
        <f>1974*9.8/100</f>
        <v>193.452</v>
      </c>
      <c r="AE87">
        <v>3</v>
      </c>
      <c r="AF87">
        <v>40</v>
      </c>
      <c r="AG87">
        <v>0</v>
      </c>
      <c r="AH87">
        <v>0</v>
      </c>
      <c r="AI87">
        <v>3</v>
      </c>
      <c r="AJ87">
        <v>40</v>
      </c>
      <c r="AK87">
        <v>0</v>
      </c>
      <c r="AL87">
        <v>0</v>
      </c>
      <c r="AN87">
        <v>250</v>
      </c>
      <c r="AO87">
        <v>250</v>
      </c>
      <c r="AP87" t="s">
        <v>508</v>
      </c>
      <c r="AR87">
        <v>15.9</v>
      </c>
      <c r="AS87">
        <v>199</v>
      </c>
      <c r="AT87">
        <f>3806*9.8/100</f>
        <v>372.98800000000006</v>
      </c>
      <c r="AU87">
        <f>174+9.8/100</f>
        <v>174.09800000000001</v>
      </c>
      <c r="AV87" t="s">
        <v>511</v>
      </c>
      <c r="AW87">
        <v>50</v>
      </c>
      <c r="AX87" s="2">
        <v>2</v>
      </c>
      <c r="AY87">
        <v>9</v>
      </c>
      <c r="AZ87">
        <v>63.6</v>
      </c>
      <c r="BA87">
        <f>3307*9.8/100</f>
        <v>324.08600000000001</v>
      </c>
      <c r="BB87">
        <f>1974*9.8/100</f>
        <v>193.452</v>
      </c>
      <c r="BC87">
        <v>4</v>
      </c>
      <c r="BD87" s="23">
        <v>40</v>
      </c>
      <c r="BE87">
        <v>0</v>
      </c>
      <c r="BF87">
        <v>0</v>
      </c>
      <c r="BG87">
        <v>4</v>
      </c>
      <c r="BH87" s="23">
        <v>40</v>
      </c>
      <c r="BI87">
        <v>0</v>
      </c>
      <c r="BJ87">
        <v>0</v>
      </c>
      <c r="BL87" s="30">
        <v>2</v>
      </c>
      <c r="BM87" t="s">
        <v>442</v>
      </c>
      <c r="BN87" s="7" t="s">
        <v>676</v>
      </c>
      <c r="BP87" s="30">
        <v>63.6</v>
      </c>
      <c r="BQ87" s="97">
        <v>3</v>
      </c>
      <c r="BR87" s="97">
        <v>6</v>
      </c>
      <c r="BS87">
        <f>3307*9.8/100</f>
        <v>324.08600000000001</v>
      </c>
      <c r="BT87">
        <f>1974*9.8/100</f>
        <v>193.452</v>
      </c>
      <c r="BU87" s="23">
        <v>0.83</v>
      </c>
    </row>
    <row r="88" spans="1:74">
      <c r="A88">
        <v>83</v>
      </c>
      <c r="B88" s="1">
        <v>1</v>
      </c>
      <c r="G88" t="s">
        <v>499</v>
      </c>
      <c r="H88" s="1" t="s">
        <v>636</v>
      </c>
      <c r="I88">
        <f t="shared" si="46"/>
        <v>23.324000000000002</v>
      </c>
      <c r="J88">
        <f t="shared" si="46"/>
        <v>23.324000000000002</v>
      </c>
      <c r="K88">
        <f t="shared" si="46"/>
        <v>23.324000000000002</v>
      </c>
      <c r="L88">
        <v>2000</v>
      </c>
      <c r="M88">
        <v>1400</v>
      </c>
      <c r="N88" s="7">
        <v>0</v>
      </c>
      <c r="O88">
        <f>27*9.8</f>
        <v>264.60000000000002</v>
      </c>
      <c r="P88">
        <v>180</v>
      </c>
      <c r="Q88">
        <v>250</v>
      </c>
      <c r="R88" t="s">
        <v>509</v>
      </c>
      <c r="T88">
        <v>15.9</v>
      </c>
      <c r="U88">
        <v>199</v>
      </c>
      <c r="V88" s="1">
        <f>3806*9.8/100</f>
        <v>372.98800000000006</v>
      </c>
      <c r="W88" s="1">
        <f>1870*9.8/100</f>
        <v>183.26</v>
      </c>
      <c r="X88" t="s">
        <v>510</v>
      </c>
      <c r="Y88">
        <v>100</v>
      </c>
      <c r="Z88" s="2">
        <v>2</v>
      </c>
      <c r="AA88">
        <v>9</v>
      </c>
      <c r="AB88">
        <v>63.6</v>
      </c>
      <c r="AC88">
        <f>3307*9.8/100</f>
        <v>324.08600000000001</v>
      </c>
      <c r="AD88">
        <f>1974*9.8/100</f>
        <v>193.452</v>
      </c>
      <c r="AE88">
        <v>3</v>
      </c>
      <c r="AF88">
        <v>40</v>
      </c>
      <c r="AG88">
        <v>0</v>
      </c>
      <c r="AH88">
        <v>0</v>
      </c>
      <c r="AI88">
        <v>3</v>
      </c>
      <c r="AJ88">
        <v>40</v>
      </c>
      <c r="AK88">
        <v>0</v>
      </c>
      <c r="AL88">
        <v>0</v>
      </c>
      <c r="AN88">
        <v>250</v>
      </c>
      <c r="AO88">
        <v>250</v>
      </c>
      <c r="AP88" t="s">
        <v>508</v>
      </c>
      <c r="AR88">
        <v>15.9</v>
      </c>
      <c r="AS88">
        <v>199</v>
      </c>
      <c r="AT88">
        <f>3806*9.8/100</f>
        <v>372.98800000000006</v>
      </c>
      <c r="AU88">
        <f>174+9.8/100</f>
        <v>174.09800000000001</v>
      </c>
      <c r="AV88" t="s">
        <v>510</v>
      </c>
      <c r="AW88">
        <v>50</v>
      </c>
      <c r="AX88" s="2">
        <v>2</v>
      </c>
      <c r="AY88">
        <v>9</v>
      </c>
      <c r="AZ88">
        <v>63.6</v>
      </c>
      <c r="BA88">
        <f>3307*9.8/100</f>
        <v>324.08600000000001</v>
      </c>
      <c r="BB88">
        <f>1974*9.8/100</f>
        <v>193.452</v>
      </c>
      <c r="BC88">
        <v>4</v>
      </c>
      <c r="BD88" s="23">
        <v>40</v>
      </c>
      <c r="BE88">
        <v>0</v>
      </c>
      <c r="BF88">
        <v>0</v>
      </c>
      <c r="BG88">
        <v>4</v>
      </c>
      <c r="BH88" s="23">
        <v>40</v>
      </c>
      <c r="BI88">
        <v>0</v>
      </c>
      <c r="BJ88">
        <v>0</v>
      </c>
      <c r="BL88" s="30">
        <v>2</v>
      </c>
      <c r="BM88" t="s">
        <v>442</v>
      </c>
      <c r="BN88" s="7" t="s">
        <v>674</v>
      </c>
      <c r="BP88" s="30">
        <v>63.6</v>
      </c>
      <c r="BQ88" s="97">
        <v>3</v>
      </c>
      <c r="BR88" s="97">
        <v>6</v>
      </c>
      <c r="BS88">
        <f>3307*9.8/100</f>
        <v>324.08600000000001</v>
      </c>
      <c r="BT88">
        <f>1974*9.8/100</f>
        <v>193.452</v>
      </c>
      <c r="BU88" s="23">
        <v>0.83</v>
      </c>
    </row>
    <row r="89" spans="1:74">
      <c r="A89">
        <v>84</v>
      </c>
      <c r="B89" s="1">
        <v>3</v>
      </c>
      <c r="C89">
        <v>22</v>
      </c>
      <c r="D89" t="s">
        <v>48</v>
      </c>
      <c r="E89">
        <v>1990</v>
      </c>
      <c r="F89" t="s">
        <v>33</v>
      </c>
      <c r="G89" t="s">
        <v>498</v>
      </c>
      <c r="H89" s="1" t="s">
        <v>512</v>
      </c>
      <c r="I89">
        <f t="shared" ref="I89:K92" si="47">410*9.8/100</f>
        <v>40.180000000000007</v>
      </c>
      <c r="J89">
        <f t="shared" si="47"/>
        <v>40.180000000000007</v>
      </c>
      <c r="K89">
        <f t="shared" si="47"/>
        <v>40.180000000000007</v>
      </c>
      <c r="L89">
        <v>2000</v>
      </c>
      <c r="M89">
        <v>1500</v>
      </c>
      <c r="N89" s="7">
        <v>0</v>
      </c>
      <c r="O89">
        <f>15*9.8</f>
        <v>147</v>
      </c>
      <c r="P89">
        <v>160</v>
      </c>
      <c r="Q89">
        <v>250</v>
      </c>
      <c r="R89" t="s">
        <v>517</v>
      </c>
      <c r="S89" s="30" t="s">
        <v>519</v>
      </c>
      <c r="T89">
        <v>9.5299999999999994</v>
      </c>
      <c r="U89">
        <v>71.3</v>
      </c>
      <c r="V89" s="1">
        <f>10900*9.8/100</f>
        <v>1068.2</v>
      </c>
      <c r="W89" s="21">
        <v>205</v>
      </c>
      <c r="X89" s="2"/>
      <c r="Y89" s="2"/>
      <c r="Z89" s="2"/>
      <c r="AA89" s="2"/>
      <c r="AB89" s="2"/>
      <c r="AC89" s="2"/>
      <c r="AD89" s="2"/>
      <c r="AE89">
        <v>4</v>
      </c>
      <c r="AF89">
        <v>25</v>
      </c>
      <c r="AG89">
        <v>4</v>
      </c>
      <c r="AH89">
        <v>25</v>
      </c>
      <c r="AI89">
        <v>4</v>
      </c>
      <c r="AJ89">
        <v>25</v>
      </c>
      <c r="AK89">
        <v>4</v>
      </c>
      <c r="AL89">
        <v>25</v>
      </c>
      <c r="AN89">
        <v>220</v>
      </c>
      <c r="AO89">
        <v>220</v>
      </c>
      <c r="AP89" t="s">
        <v>520</v>
      </c>
      <c r="AR89">
        <v>12.7</v>
      </c>
      <c r="AS89">
        <v>127</v>
      </c>
      <c r="AT89">
        <f>6560*9.8/100</f>
        <v>642.88000000000011</v>
      </c>
      <c r="AU89" s="16">
        <v>205</v>
      </c>
      <c r="AV89" t="s">
        <v>678</v>
      </c>
      <c r="AW89" s="2"/>
      <c r="AX89">
        <v>2</v>
      </c>
      <c r="AY89">
        <v>6</v>
      </c>
      <c r="AZ89">
        <v>31.7</v>
      </c>
      <c r="BA89">
        <f>2970*9.8/100</f>
        <v>291.06000000000006</v>
      </c>
      <c r="BB89" s="16">
        <v>205</v>
      </c>
      <c r="BC89">
        <v>5</v>
      </c>
      <c r="BD89" s="23">
        <v>30</v>
      </c>
      <c r="BE89">
        <v>2</v>
      </c>
      <c r="BF89">
        <v>25</v>
      </c>
      <c r="BG89">
        <v>5</v>
      </c>
      <c r="BH89" s="23">
        <v>30</v>
      </c>
      <c r="BI89">
        <v>2</v>
      </c>
      <c r="BJ89">
        <v>30</v>
      </c>
      <c r="BL89" s="30">
        <v>2</v>
      </c>
      <c r="BM89" t="s">
        <v>522</v>
      </c>
      <c r="BN89" s="7" t="s">
        <v>679</v>
      </c>
      <c r="BQ89">
        <v>3</v>
      </c>
      <c r="BR89">
        <v>6</v>
      </c>
      <c r="BS89">
        <f>2970*9.8/100</f>
        <v>291.06000000000006</v>
      </c>
      <c r="BT89" s="16">
        <v>205</v>
      </c>
      <c r="BU89" s="76">
        <v>0.41</v>
      </c>
    </row>
    <row r="90" spans="1:74">
      <c r="A90">
        <v>85</v>
      </c>
      <c r="B90" s="1">
        <v>3</v>
      </c>
      <c r="G90" t="s">
        <v>499</v>
      </c>
      <c r="H90" s="1" t="s">
        <v>513</v>
      </c>
      <c r="I90">
        <f t="shared" si="47"/>
        <v>40.180000000000007</v>
      </c>
      <c r="J90">
        <f t="shared" si="47"/>
        <v>40.180000000000007</v>
      </c>
      <c r="K90">
        <f t="shared" si="47"/>
        <v>40.180000000000007</v>
      </c>
      <c r="L90">
        <v>2000</v>
      </c>
      <c r="M90">
        <v>1500</v>
      </c>
      <c r="N90" s="7">
        <v>0</v>
      </c>
      <c r="O90">
        <f>15*9.8</f>
        <v>147</v>
      </c>
      <c r="P90">
        <v>160</v>
      </c>
      <c r="Q90">
        <v>250</v>
      </c>
      <c r="R90" t="s">
        <v>517</v>
      </c>
      <c r="S90" s="30" t="s">
        <v>518</v>
      </c>
      <c r="T90">
        <v>9.5299999999999994</v>
      </c>
      <c r="U90">
        <v>71.3</v>
      </c>
      <c r="V90" s="1">
        <f>4170*9.8/100</f>
        <v>408.66</v>
      </c>
      <c r="W90" s="21">
        <v>205</v>
      </c>
      <c r="X90" s="2"/>
      <c r="Y90" s="2"/>
      <c r="Z90" s="2"/>
      <c r="AA90" s="2"/>
      <c r="AB90" s="2"/>
      <c r="AC90" s="2"/>
      <c r="AD90" s="2"/>
      <c r="AE90">
        <v>4</v>
      </c>
      <c r="AF90">
        <v>25</v>
      </c>
      <c r="AG90">
        <v>4</v>
      </c>
      <c r="AH90">
        <v>25</v>
      </c>
      <c r="AI90">
        <v>4</v>
      </c>
      <c r="AJ90">
        <v>25</v>
      </c>
      <c r="AK90">
        <v>4</v>
      </c>
      <c r="AL90">
        <v>25</v>
      </c>
      <c r="AN90">
        <v>220</v>
      </c>
      <c r="AO90">
        <v>220</v>
      </c>
      <c r="AP90" t="s">
        <v>520</v>
      </c>
      <c r="AR90">
        <v>12.7</v>
      </c>
      <c r="AS90">
        <v>127</v>
      </c>
      <c r="AT90">
        <f>3950*9.8/100</f>
        <v>387.1</v>
      </c>
      <c r="AU90" s="16">
        <v>205</v>
      </c>
      <c r="AV90" t="s">
        <v>679</v>
      </c>
      <c r="AW90" s="2"/>
      <c r="AX90">
        <v>2</v>
      </c>
      <c r="AY90">
        <v>6</v>
      </c>
      <c r="AZ90">
        <v>31.7</v>
      </c>
      <c r="BA90">
        <f>2970*9.8/100</f>
        <v>291.06000000000006</v>
      </c>
      <c r="BB90" s="16">
        <v>205</v>
      </c>
      <c r="BC90">
        <v>5</v>
      </c>
      <c r="BD90" s="23">
        <v>30</v>
      </c>
      <c r="BE90">
        <v>2</v>
      </c>
      <c r="BF90">
        <v>25</v>
      </c>
      <c r="BG90">
        <v>5</v>
      </c>
      <c r="BH90" s="23">
        <v>30</v>
      </c>
      <c r="BI90">
        <v>2</v>
      </c>
      <c r="BJ90">
        <v>30</v>
      </c>
      <c r="BL90" s="30">
        <v>2</v>
      </c>
      <c r="BM90" t="s">
        <v>522</v>
      </c>
      <c r="BN90" s="7" t="s">
        <v>680</v>
      </c>
      <c r="BQ90">
        <v>3</v>
      </c>
      <c r="BR90">
        <v>6</v>
      </c>
      <c r="BS90">
        <f>2970*9.8/100</f>
        <v>291.06000000000006</v>
      </c>
      <c r="BT90" s="16">
        <v>205</v>
      </c>
      <c r="BU90" s="76">
        <v>0.41</v>
      </c>
    </row>
    <row r="91" spans="1:74">
      <c r="A91">
        <v>86</v>
      </c>
      <c r="B91" s="1">
        <v>3</v>
      </c>
      <c r="G91" t="s">
        <v>498</v>
      </c>
      <c r="H91" s="1" t="s">
        <v>514</v>
      </c>
      <c r="I91">
        <f t="shared" si="47"/>
        <v>40.180000000000007</v>
      </c>
      <c r="J91">
        <f t="shared" si="47"/>
        <v>40.180000000000007</v>
      </c>
      <c r="K91">
        <f t="shared" si="47"/>
        <v>40.180000000000007</v>
      </c>
      <c r="L91">
        <v>2000</v>
      </c>
      <c r="M91">
        <v>1500</v>
      </c>
      <c r="N91" s="7">
        <v>0</v>
      </c>
      <c r="O91">
        <f>45*9.8</f>
        <v>441.00000000000006</v>
      </c>
      <c r="P91">
        <v>160</v>
      </c>
      <c r="Q91">
        <v>250</v>
      </c>
      <c r="R91" t="s">
        <v>517</v>
      </c>
      <c r="S91" s="30" t="s">
        <v>519</v>
      </c>
      <c r="T91">
        <v>9.5299999999999994</v>
      </c>
      <c r="U91">
        <v>71.3</v>
      </c>
      <c r="V91" s="1">
        <f>10900*9.8/100</f>
        <v>1068.2</v>
      </c>
      <c r="W91" s="21">
        <v>205</v>
      </c>
      <c r="X91" s="2"/>
      <c r="Y91" s="2"/>
      <c r="Z91" s="2"/>
      <c r="AA91" s="2"/>
      <c r="AB91" s="2"/>
      <c r="AC91" s="2"/>
      <c r="AD91" s="2"/>
      <c r="AE91">
        <v>4</v>
      </c>
      <c r="AF91">
        <v>25</v>
      </c>
      <c r="AG91">
        <v>4</v>
      </c>
      <c r="AH91">
        <v>25</v>
      </c>
      <c r="AI91">
        <v>4</v>
      </c>
      <c r="AJ91">
        <v>25</v>
      </c>
      <c r="AK91">
        <v>4</v>
      </c>
      <c r="AL91">
        <v>25</v>
      </c>
      <c r="AN91">
        <v>220</v>
      </c>
      <c r="AO91">
        <v>220</v>
      </c>
      <c r="AP91" t="s">
        <v>521</v>
      </c>
      <c r="AR91">
        <v>12.7</v>
      </c>
      <c r="AS91">
        <v>127</v>
      </c>
      <c r="AT91">
        <f>6560*9.8/100</f>
        <v>642.88000000000011</v>
      </c>
      <c r="AU91" s="16">
        <v>205</v>
      </c>
      <c r="AV91" t="s">
        <v>677</v>
      </c>
      <c r="AW91" s="2"/>
      <c r="AX91">
        <v>2</v>
      </c>
      <c r="AY91">
        <v>6</v>
      </c>
      <c r="AZ91">
        <v>31.7</v>
      </c>
      <c r="BA91">
        <f>2970*9.8/100</f>
        <v>291.06000000000006</v>
      </c>
      <c r="BB91" s="16">
        <v>205</v>
      </c>
      <c r="BC91">
        <v>5</v>
      </c>
      <c r="BD91" s="23">
        <v>30</v>
      </c>
      <c r="BE91">
        <v>2</v>
      </c>
      <c r="BF91">
        <v>25</v>
      </c>
      <c r="BG91">
        <v>5</v>
      </c>
      <c r="BH91" s="23">
        <v>30</v>
      </c>
      <c r="BI91">
        <v>2</v>
      </c>
      <c r="BJ91">
        <v>30</v>
      </c>
      <c r="BL91" s="30">
        <v>2</v>
      </c>
      <c r="BM91" t="s">
        <v>522</v>
      </c>
      <c r="BN91" s="7" t="s">
        <v>677</v>
      </c>
      <c r="BQ91">
        <v>3</v>
      </c>
      <c r="BR91">
        <v>6</v>
      </c>
      <c r="BS91">
        <f>2970*9.8/100</f>
        <v>291.06000000000006</v>
      </c>
      <c r="BT91" s="16">
        <v>205</v>
      </c>
      <c r="BU91" s="76">
        <v>0.41</v>
      </c>
    </row>
    <row r="92" spans="1:74">
      <c r="A92">
        <v>87</v>
      </c>
      <c r="B92" s="1">
        <v>3</v>
      </c>
      <c r="G92" t="s">
        <v>516</v>
      </c>
      <c r="H92" s="1" t="s">
        <v>515</v>
      </c>
      <c r="I92">
        <f t="shared" si="47"/>
        <v>40.180000000000007</v>
      </c>
      <c r="J92">
        <f t="shared" si="47"/>
        <v>40.180000000000007</v>
      </c>
      <c r="K92">
        <f t="shared" si="47"/>
        <v>40.180000000000007</v>
      </c>
      <c r="L92">
        <v>2000</v>
      </c>
      <c r="M92">
        <v>1500</v>
      </c>
      <c r="N92" s="7">
        <v>0</v>
      </c>
      <c r="O92">
        <f>45*9.8</f>
        <v>441.00000000000006</v>
      </c>
      <c r="P92">
        <v>160</v>
      </c>
      <c r="Q92">
        <v>250</v>
      </c>
      <c r="R92" t="s">
        <v>517</v>
      </c>
      <c r="S92" s="30" t="s">
        <v>519</v>
      </c>
      <c r="T92">
        <v>9.5299999999999994</v>
      </c>
      <c r="U92">
        <v>71.3</v>
      </c>
      <c r="V92" s="1">
        <f>10900*9.8/100</f>
        <v>1068.2</v>
      </c>
      <c r="W92" s="21">
        <v>205</v>
      </c>
      <c r="X92" s="2"/>
      <c r="Y92" s="2"/>
      <c r="Z92" s="2"/>
      <c r="AA92" s="2"/>
      <c r="AB92" s="2"/>
      <c r="AC92" s="2"/>
      <c r="AD92" s="2"/>
      <c r="AE92">
        <v>4</v>
      </c>
      <c r="AF92">
        <v>25</v>
      </c>
      <c r="AG92">
        <v>4</v>
      </c>
      <c r="AH92">
        <v>25</v>
      </c>
      <c r="AI92">
        <v>4</v>
      </c>
      <c r="AJ92">
        <v>25</v>
      </c>
      <c r="AK92">
        <v>4</v>
      </c>
      <c r="AL92">
        <v>25</v>
      </c>
      <c r="AN92">
        <v>220</v>
      </c>
      <c r="AO92">
        <v>220</v>
      </c>
      <c r="AP92" t="s">
        <v>520</v>
      </c>
      <c r="AR92">
        <v>12.7</v>
      </c>
      <c r="AS92">
        <v>127</v>
      </c>
      <c r="AT92">
        <f>6560*9.8/100</f>
        <v>642.88000000000011</v>
      </c>
      <c r="AU92" s="16">
        <v>205</v>
      </c>
      <c r="AV92" t="s">
        <v>677</v>
      </c>
      <c r="AW92" s="2"/>
      <c r="AX92">
        <v>2</v>
      </c>
      <c r="AY92">
        <v>6</v>
      </c>
      <c r="AZ92">
        <v>31.7</v>
      </c>
      <c r="BA92">
        <f>2970*9.8/100</f>
        <v>291.06000000000006</v>
      </c>
      <c r="BB92" s="16">
        <v>205</v>
      </c>
      <c r="BC92">
        <v>5</v>
      </c>
      <c r="BD92" s="23">
        <v>30</v>
      </c>
      <c r="BE92">
        <v>2</v>
      </c>
      <c r="BF92">
        <v>25</v>
      </c>
      <c r="BG92">
        <v>5</v>
      </c>
      <c r="BH92" s="23">
        <v>30</v>
      </c>
      <c r="BI92">
        <v>2</v>
      </c>
      <c r="BJ92">
        <v>30</v>
      </c>
      <c r="BL92" s="30">
        <v>2</v>
      </c>
      <c r="BM92" t="s">
        <v>522</v>
      </c>
      <c r="BN92" s="7" t="s">
        <v>677</v>
      </c>
      <c r="BQ92">
        <v>4</v>
      </c>
      <c r="BR92">
        <v>16</v>
      </c>
      <c r="BS92">
        <f>2970*9.8/100</f>
        <v>291.06000000000006</v>
      </c>
      <c r="BT92" s="16">
        <v>205</v>
      </c>
      <c r="BU92" s="76">
        <v>1.1000000000000001</v>
      </c>
    </row>
    <row r="93" spans="1:74" s="5" customFormat="1">
      <c r="A93">
        <v>88</v>
      </c>
      <c r="B93" s="1">
        <v>1</v>
      </c>
      <c r="C93" s="5">
        <v>23</v>
      </c>
      <c r="D93" s="5" t="s">
        <v>49</v>
      </c>
      <c r="E93" s="5">
        <v>1990</v>
      </c>
      <c r="F93" s="5" t="s">
        <v>27</v>
      </c>
      <c r="G93" s="5" t="s">
        <v>160</v>
      </c>
      <c r="H93" s="6" t="s">
        <v>176</v>
      </c>
      <c r="I93" s="5">
        <f t="shared" ref="I93:K95" si="48">808*9.8/100</f>
        <v>79.184000000000012</v>
      </c>
      <c r="J93" s="5">
        <f t="shared" si="48"/>
        <v>79.184000000000012</v>
      </c>
      <c r="K93" s="5">
        <f t="shared" si="48"/>
        <v>79.184000000000012</v>
      </c>
      <c r="L93" s="5">
        <v>3440</v>
      </c>
      <c r="M93" s="5">
        <v>2440</v>
      </c>
      <c r="N93" s="5">
        <v>0</v>
      </c>
      <c r="O93" s="5">
        <v>0</v>
      </c>
      <c r="P93" s="5">
        <v>240</v>
      </c>
      <c r="Q93" s="5">
        <v>300</v>
      </c>
      <c r="R93" s="5" t="s">
        <v>62</v>
      </c>
      <c r="S93" s="8" t="s">
        <v>177</v>
      </c>
      <c r="T93" s="5">
        <v>12.7</v>
      </c>
      <c r="U93" s="5">
        <v>127</v>
      </c>
      <c r="V93" s="6">
        <f>6760*9.8/100</f>
        <v>662.48</v>
      </c>
      <c r="W93" s="6">
        <v>205</v>
      </c>
      <c r="X93" s="5" t="s">
        <v>40</v>
      </c>
      <c r="Y93" s="5">
        <v>50</v>
      </c>
      <c r="Z93" s="5">
        <v>2</v>
      </c>
      <c r="AA93" s="5">
        <v>6.35</v>
      </c>
      <c r="AB93" s="5">
        <v>31.7</v>
      </c>
      <c r="AC93" s="5">
        <f>11132*9.8/100</f>
        <v>1090.9360000000001</v>
      </c>
      <c r="AD93" s="44">
        <v>205</v>
      </c>
      <c r="AE93" s="5">
        <v>5</v>
      </c>
      <c r="AF93" s="5">
        <v>30</v>
      </c>
      <c r="AG93" s="5">
        <v>4</v>
      </c>
      <c r="AH93" s="5">
        <v>40</v>
      </c>
      <c r="AI93" s="5">
        <v>5</v>
      </c>
      <c r="AJ93" s="5">
        <v>30</v>
      </c>
      <c r="AK93" s="5">
        <v>4</v>
      </c>
      <c r="AL93" s="5">
        <v>40</v>
      </c>
      <c r="AM93" s="8"/>
      <c r="AN93" s="5">
        <v>300</v>
      </c>
      <c r="AO93" s="5">
        <v>300</v>
      </c>
      <c r="AP93" s="5" t="s">
        <v>62</v>
      </c>
      <c r="AQ93" s="8" t="s">
        <v>177</v>
      </c>
      <c r="AR93" s="5">
        <v>12.7</v>
      </c>
      <c r="AS93" s="5">
        <v>127</v>
      </c>
      <c r="AT93" s="5">
        <f>6760*9.8/100</f>
        <v>662.48</v>
      </c>
      <c r="AU93" s="5">
        <v>205</v>
      </c>
      <c r="AV93" s="5" t="s">
        <v>40</v>
      </c>
      <c r="AW93" s="5">
        <v>50</v>
      </c>
      <c r="AX93" s="5">
        <v>2</v>
      </c>
      <c r="AY93" s="5">
        <v>6.35</v>
      </c>
      <c r="AZ93" s="5">
        <v>31.7</v>
      </c>
      <c r="BA93" s="5">
        <f>7901*9.8/100</f>
        <v>774.298</v>
      </c>
      <c r="BB93" s="44">
        <v>205</v>
      </c>
      <c r="BC93" s="5">
        <v>8</v>
      </c>
      <c r="BD93" s="5">
        <v>30</v>
      </c>
      <c r="BE93" s="5">
        <v>2</v>
      </c>
      <c r="BF93" s="5">
        <v>60</v>
      </c>
      <c r="BG93" s="5">
        <v>8</v>
      </c>
      <c r="BH93" s="5">
        <v>30</v>
      </c>
      <c r="BI93" s="5">
        <v>2</v>
      </c>
      <c r="BJ93" s="5">
        <v>60</v>
      </c>
      <c r="BK93" s="8"/>
      <c r="BL93" s="8">
        <v>4</v>
      </c>
      <c r="BM93" s="5" t="s">
        <v>166</v>
      </c>
      <c r="BN93" s="17" t="s">
        <v>681</v>
      </c>
      <c r="BO93" s="8"/>
      <c r="BP93" s="8">
        <v>31.7</v>
      </c>
      <c r="BQ93" s="5">
        <v>3</v>
      </c>
      <c r="BR93" s="5">
        <v>6</v>
      </c>
      <c r="BS93" s="5">
        <f>7901*9.8/100</f>
        <v>774.298</v>
      </c>
      <c r="BT93" s="6">
        <v>205</v>
      </c>
      <c r="BU93" s="81">
        <v>0.24</v>
      </c>
      <c r="BV93" s="6"/>
    </row>
    <row r="94" spans="1:74">
      <c r="A94">
        <v>89</v>
      </c>
      <c r="B94" s="1">
        <v>1</v>
      </c>
      <c r="G94" t="s">
        <v>158</v>
      </c>
      <c r="H94" s="1" t="s">
        <v>178</v>
      </c>
      <c r="I94">
        <f t="shared" si="48"/>
        <v>79.184000000000012</v>
      </c>
      <c r="J94">
        <f t="shared" si="48"/>
        <v>79.184000000000012</v>
      </c>
      <c r="K94">
        <f t="shared" si="48"/>
        <v>79.184000000000012</v>
      </c>
      <c r="L94">
        <v>3440</v>
      </c>
      <c r="M94">
        <v>2440</v>
      </c>
      <c r="N94">
        <v>0</v>
      </c>
      <c r="O94">
        <v>0</v>
      </c>
      <c r="P94">
        <v>240</v>
      </c>
      <c r="Q94">
        <v>300</v>
      </c>
      <c r="R94" t="s">
        <v>62</v>
      </c>
      <c r="S94" s="30" t="s">
        <v>177</v>
      </c>
      <c r="T94">
        <v>12.7</v>
      </c>
      <c r="U94">
        <v>127</v>
      </c>
      <c r="V94" s="1">
        <f>6760*9.8/100</f>
        <v>662.48</v>
      </c>
      <c r="W94" s="1">
        <v>205</v>
      </c>
      <c r="X94" t="s">
        <v>40</v>
      </c>
      <c r="Y94">
        <v>50</v>
      </c>
      <c r="Z94">
        <v>2</v>
      </c>
      <c r="AA94">
        <v>6.35</v>
      </c>
      <c r="AB94">
        <v>31.7</v>
      </c>
      <c r="AC94">
        <f>8735*9.8/100</f>
        <v>856.03</v>
      </c>
      <c r="AD94" s="16">
        <v>205</v>
      </c>
      <c r="AE94">
        <v>5</v>
      </c>
      <c r="AF94">
        <v>30</v>
      </c>
      <c r="AG94">
        <v>2</v>
      </c>
      <c r="AH94">
        <v>40</v>
      </c>
      <c r="AI94">
        <v>5</v>
      </c>
      <c r="AJ94">
        <v>30</v>
      </c>
      <c r="AK94">
        <v>2</v>
      </c>
      <c r="AL94">
        <v>40</v>
      </c>
      <c r="AN94">
        <v>300</v>
      </c>
      <c r="AO94">
        <v>300</v>
      </c>
      <c r="AP94" t="s">
        <v>62</v>
      </c>
      <c r="AQ94" s="30" t="s">
        <v>177</v>
      </c>
      <c r="AR94">
        <v>12.7</v>
      </c>
      <c r="AS94">
        <v>127</v>
      </c>
      <c r="AT94">
        <f>6760*9.8/100</f>
        <v>662.48</v>
      </c>
      <c r="AU94">
        <v>205</v>
      </c>
      <c r="AV94" t="s">
        <v>40</v>
      </c>
      <c r="AW94">
        <v>50</v>
      </c>
      <c r="AX94">
        <v>2</v>
      </c>
      <c r="AY94">
        <v>6.35</v>
      </c>
      <c r="AZ94">
        <v>31.7</v>
      </c>
      <c r="BA94">
        <f>8735*9.8/100</f>
        <v>856.03</v>
      </c>
      <c r="BB94" s="16">
        <v>205</v>
      </c>
      <c r="BC94">
        <v>8</v>
      </c>
      <c r="BD94">
        <v>30</v>
      </c>
      <c r="BE94">
        <v>2</v>
      </c>
      <c r="BF94">
        <v>60</v>
      </c>
      <c r="BG94">
        <v>8</v>
      </c>
      <c r="BH94">
        <v>30</v>
      </c>
      <c r="BI94">
        <v>2</v>
      </c>
      <c r="BJ94">
        <v>60</v>
      </c>
      <c r="BL94" s="30">
        <v>4</v>
      </c>
      <c r="BM94" t="s">
        <v>166</v>
      </c>
      <c r="BN94" s="7" t="s">
        <v>682</v>
      </c>
      <c r="BP94" s="30">
        <v>31.7</v>
      </c>
      <c r="BQ94">
        <v>5</v>
      </c>
      <c r="BR94">
        <v>10</v>
      </c>
      <c r="BS94">
        <f>8735*9.8/100</f>
        <v>856.03</v>
      </c>
      <c r="BT94" s="1">
        <v>205</v>
      </c>
      <c r="BU94" s="75">
        <v>0.4</v>
      </c>
      <c r="BV94" s="1"/>
    </row>
    <row r="95" spans="1:74" s="12" customFormat="1">
      <c r="A95">
        <v>90</v>
      </c>
      <c r="B95" s="1">
        <v>1</v>
      </c>
      <c r="G95" s="12" t="s">
        <v>160</v>
      </c>
      <c r="H95" s="1" t="s">
        <v>179</v>
      </c>
      <c r="I95" s="12">
        <f t="shared" si="48"/>
        <v>79.184000000000012</v>
      </c>
      <c r="J95" s="12">
        <f t="shared" si="48"/>
        <v>79.184000000000012</v>
      </c>
      <c r="K95" s="12">
        <f t="shared" si="48"/>
        <v>79.184000000000012</v>
      </c>
      <c r="L95" s="12">
        <v>3440</v>
      </c>
      <c r="M95" s="12">
        <v>2440</v>
      </c>
      <c r="N95" s="12">
        <v>0</v>
      </c>
      <c r="O95" s="12">
        <v>0</v>
      </c>
      <c r="P95" s="12">
        <v>240</v>
      </c>
      <c r="Q95" s="12">
        <v>300</v>
      </c>
      <c r="R95" s="12" t="s">
        <v>57</v>
      </c>
      <c r="S95" s="30" t="s">
        <v>63</v>
      </c>
      <c r="T95" s="12">
        <v>19.100000000000001</v>
      </c>
      <c r="U95" s="12">
        <v>287</v>
      </c>
      <c r="V95" s="12">
        <f>3709*9.8/100</f>
        <v>363.48200000000003</v>
      </c>
      <c r="W95" s="12">
        <v>205</v>
      </c>
      <c r="X95" s="12" t="s">
        <v>40</v>
      </c>
      <c r="Y95" s="12">
        <v>50</v>
      </c>
      <c r="Z95" s="12">
        <v>2</v>
      </c>
      <c r="AA95" s="12">
        <v>6.35</v>
      </c>
      <c r="AB95" s="12">
        <v>31.7</v>
      </c>
      <c r="AC95" s="12">
        <f>8735*9.8/100</f>
        <v>856.03</v>
      </c>
      <c r="AD95" s="39">
        <v>205</v>
      </c>
      <c r="AE95" s="12">
        <v>5</v>
      </c>
      <c r="AF95" s="12">
        <v>30</v>
      </c>
      <c r="AG95" s="12">
        <v>4</v>
      </c>
      <c r="AH95" s="12">
        <v>40</v>
      </c>
      <c r="AI95" s="12">
        <v>5</v>
      </c>
      <c r="AJ95" s="12">
        <v>30</v>
      </c>
      <c r="AK95" s="12">
        <v>4</v>
      </c>
      <c r="AL95" s="12">
        <v>40</v>
      </c>
      <c r="AM95" s="30"/>
      <c r="AN95" s="12">
        <v>300</v>
      </c>
      <c r="AO95" s="12">
        <v>300</v>
      </c>
      <c r="AP95" s="12" t="s">
        <v>57</v>
      </c>
      <c r="AQ95" s="30" t="s">
        <v>63</v>
      </c>
      <c r="AR95" s="12">
        <v>19.100000000000001</v>
      </c>
      <c r="AS95" s="12">
        <v>287</v>
      </c>
      <c r="AT95" s="12">
        <f>3709*9.8/100</f>
        <v>363.48200000000003</v>
      </c>
      <c r="AU95" s="12">
        <v>205</v>
      </c>
      <c r="AV95" s="12" t="s">
        <v>40</v>
      </c>
      <c r="AW95" s="12">
        <v>50</v>
      </c>
      <c r="AX95" s="12">
        <v>2</v>
      </c>
      <c r="AY95" s="12">
        <v>6.35</v>
      </c>
      <c r="AZ95" s="12">
        <v>1.7</v>
      </c>
      <c r="BA95" s="12">
        <f>8735*9.8/100</f>
        <v>856.03</v>
      </c>
      <c r="BB95" s="39">
        <v>205</v>
      </c>
      <c r="BC95" s="12">
        <v>8</v>
      </c>
      <c r="BD95" s="12">
        <v>30</v>
      </c>
      <c r="BE95" s="12">
        <v>2</v>
      </c>
      <c r="BF95" s="12">
        <v>60</v>
      </c>
      <c r="BG95" s="12">
        <v>8</v>
      </c>
      <c r="BH95" s="12">
        <v>30</v>
      </c>
      <c r="BI95" s="12">
        <v>2</v>
      </c>
      <c r="BJ95" s="12">
        <v>60</v>
      </c>
      <c r="BK95" s="30"/>
      <c r="BL95" s="30">
        <v>4</v>
      </c>
      <c r="BM95" s="12" t="s">
        <v>166</v>
      </c>
      <c r="BN95" s="12" t="s">
        <v>681</v>
      </c>
      <c r="BO95" s="30"/>
      <c r="BP95" s="30">
        <v>31.7</v>
      </c>
      <c r="BQ95" s="12">
        <v>5</v>
      </c>
      <c r="BR95" s="12">
        <v>10</v>
      </c>
      <c r="BS95" s="12">
        <f>8735*9.8/100</f>
        <v>856.03</v>
      </c>
      <c r="BT95" s="12">
        <v>205</v>
      </c>
      <c r="BU95" s="80">
        <v>0.4</v>
      </c>
    </row>
    <row r="96" spans="1:74">
      <c r="A96">
        <v>91</v>
      </c>
      <c r="B96" s="1">
        <v>1</v>
      </c>
      <c r="C96">
        <v>24</v>
      </c>
      <c r="D96" t="s">
        <v>35</v>
      </c>
      <c r="E96">
        <v>1990</v>
      </c>
      <c r="F96" t="s">
        <v>27</v>
      </c>
      <c r="G96" t="s">
        <v>160</v>
      </c>
      <c r="H96" s="1" t="s">
        <v>180</v>
      </c>
      <c r="I96">
        <f>962*9.8/100</f>
        <v>94.27600000000001</v>
      </c>
      <c r="J96">
        <f>962*9.8/100</f>
        <v>94.27600000000001</v>
      </c>
      <c r="K96">
        <f>962*9.8/100</f>
        <v>94.27600000000001</v>
      </c>
      <c r="L96">
        <v>2700</v>
      </c>
      <c r="M96">
        <v>1470</v>
      </c>
      <c r="N96">
        <v>0</v>
      </c>
      <c r="O96">
        <f>32.4*9.8</f>
        <v>317.52</v>
      </c>
      <c r="P96">
        <v>200</v>
      </c>
      <c r="Q96">
        <v>300</v>
      </c>
      <c r="R96" t="s">
        <v>39</v>
      </c>
      <c r="T96">
        <v>15.9</v>
      </c>
      <c r="U96">
        <v>199</v>
      </c>
      <c r="V96" s="1">
        <f>8140*9.8/100</f>
        <v>797.72</v>
      </c>
      <c r="W96" s="1">
        <v>205</v>
      </c>
      <c r="X96" t="s">
        <v>181</v>
      </c>
      <c r="Y96">
        <v>35</v>
      </c>
      <c r="Z96">
        <v>2</v>
      </c>
      <c r="AA96">
        <v>6.4</v>
      </c>
      <c r="AB96">
        <v>32</v>
      </c>
      <c r="AC96">
        <f>13340*9.8/100</f>
        <v>1307.3200000000002</v>
      </c>
      <c r="AD96" s="16">
        <v>205</v>
      </c>
      <c r="AE96">
        <v>4</v>
      </c>
      <c r="AF96">
        <v>40</v>
      </c>
      <c r="AG96">
        <v>4</v>
      </c>
      <c r="AH96">
        <v>44</v>
      </c>
      <c r="AI96">
        <v>4</v>
      </c>
      <c r="AJ96">
        <v>40</v>
      </c>
      <c r="AK96">
        <v>4</v>
      </c>
      <c r="AL96">
        <v>44</v>
      </c>
      <c r="AN96">
        <v>300</v>
      </c>
      <c r="AO96">
        <v>300</v>
      </c>
      <c r="AP96" t="s">
        <v>57</v>
      </c>
      <c r="AR96">
        <v>19.100000000000001</v>
      </c>
      <c r="AS96">
        <v>287</v>
      </c>
      <c r="AT96">
        <f>7610*9.8/100</f>
        <v>745.78</v>
      </c>
      <c r="AU96">
        <v>205</v>
      </c>
      <c r="AV96" t="s">
        <v>181</v>
      </c>
      <c r="AW96">
        <v>40</v>
      </c>
      <c r="AX96">
        <v>2</v>
      </c>
      <c r="AY96">
        <v>6.4</v>
      </c>
      <c r="AZ96">
        <v>31.7</v>
      </c>
      <c r="BA96">
        <f>13340*9.8/100</f>
        <v>1307.3200000000002</v>
      </c>
      <c r="BB96" s="16">
        <v>205</v>
      </c>
      <c r="BC96">
        <v>5</v>
      </c>
      <c r="BD96">
        <v>40</v>
      </c>
      <c r="BE96">
        <v>2</v>
      </c>
      <c r="BF96">
        <v>64</v>
      </c>
      <c r="BG96">
        <v>5</v>
      </c>
      <c r="BH96">
        <v>40</v>
      </c>
      <c r="BI96">
        <v>2</v>
      </c>
      <c r="BJ96">
        <v>64</v>
      </c>
      <c r="BL96" s="30">
        <v>2</v>
      </c>
      <c r="BM96" t="s">
        <v>380</v>
      </c>
      <c r="BN96" s="7" t="s">
        <v>687</v>
      </c>
      <c r="BP96" s="30">
        <v>28</v>
      </c>
      <c r="BQ96">
        <v>3</v>
      </c>
      <c r="BR96">
        <v>9</v>
      </c>
      <c r="BS96">
        <f>3670*9.8/100</f>
        <v>359.66</v>
      </c>
      <c r="BT96" s="1">
        <v>205</v>
      </c>
      <c r="BU96" s="75">
        <v>0.41</v>
      </c>
      <c r="BV96" s="1"/>
    </row>
    <row r="97" spans="1:74">
      <c r="A97">
        <v>92</v>
      </c>
      <c r="B97" s="1">
        <v>1</v>
      </c>
      <c r="G97" t="s">
        <v>160</v>
      </c>
      <c r="H97" s="1" t="s">
        <v>182</v>
      </c>
      <c r="I97">
        <f>422*9.8/100</f>
        <v>41.356000000000002</v>
      </c>
      <c r="J97">
        <f>422*9.8/100</f>
        <v>41.356000000000002</v>
      </c>
      <c r="K97">
        <f>422*9.8/100</f>
        <v>41.356000000000002</v>
      </c>
      <c r="L97">
        <v>2700</v>
      </c>
      <c r="M97">
        <v>1470</v>
      </c>
      <c r="N97">
        <v>0</v>
      </c>
      <c r="O97">
        <f>9.7*9.8</f>
        <v>95.06</v>
      </c>
      <c r="P97">
        <v>200</v>
      </c>
      <c r="Q97">
        <v>300</v>
      </c>
      <c r="R97" t="s">
        <v>39</v>
      </c>
      <c r="T97">
        <v>15.9</v>
      </c>
      <c r="U97">
        <v>199</v>
      </c>
      <c r="V97" s="1">
        <f>3680*9.8/100</f>
        <v>360.64</v>
      </c>
      <c r="W97" s="1">
        <v>205</v>
      </c>
      <c r="X97" t="s">
        <v>40</v>
      </c>
      <c r="Y97">
        <v>40</v>
      </c>
      <c r="Z97">
        <v>2</v>
      </c>
      <c r="AA97">
        <v>6.35</v>
      </c>
      <c r="AB97">
        <v>31.7</v>
      </c>
      <c r="AC97">
        <f>3650*9.8/100</f>
        <v>357.7</v>
      </c>
      <c r="AD97" s="16">
        <v>205</v>
      </c>
      <c r="AE97">
        <v>4</v>
      </c>
      <c r="AF97">
        <v>40</v>
      </c>
      <c r="AG97">
        <v>2</v>
      </c>
      <c r="AH97">
        <v>44</v>
      </c>
      <c r="AI97">
        <v>4</v>
      </c>
      <c r="AJ97">
        <v>40</v>
      </c>
      <c r="AK97">
        <v>0</v>
      </c>
      <c r="AL97">
        <v>0</v>
      </c>
      <c r="AN97">
        <v>300</v>
      </c>
      <c r="AO97">
        <v>300</v>
      </c>
      <c r="AP97" t="s">
        <v>39</v>
      </c>
      <c r="AR97">
        <v>15.9</v>
      </c>
      <c r="AS97">
        <v>199</v>
      </c>
      <c r="AT97">
        <f>3680*9.8/100</f>
        <v>360.64</v>
      </c>
      <c r="AU97">
        <v>205</v>
      </c>
      <c r="AV97" t="s">
        <v>40</v>
      </c>
      <c r="AW97">
        <v>50</v>
      </c>
      <c r="AX97">
        <v>4</v>
      </c>
      <c r="AY97">
        <v>6.35</v>
      </c>
      <c r="AZ97">
        <v>31.7</v>
      </c>
      <c r="BA97">
        <f>3650*9.8/100</f>
        <v>357.7</v>
      </c>
      <c r="BB97" s="16">
        <v>205</v>
      </c>
      <c r="BC97">
        <v>5</v>
      </c>
      <c r="BD97">
        <v>40</v>
      </c>
      <c r="BE97">
        <v>2</v>
      </c>
      <c r="BF97">
        <v>64</v>
      </c>
      <c r="BG97">
        <v>5</v>
      </c>
      <c r="BH97">
        <v>40</v>
      </c>
      <c r="BI97">
        <v>2</v>
      </c>
      <c r="BJ97">
        <v>64</v>
      </c>
      <c r="BL97" s="30">
        <v>2</v>
      </c>
      <c r="BM97" t="s">
        <v>380</v>
      </c>
      <c r="BN97" s="7" t="s">
        <v>688</v>
      </c>
      <c r="BP97" s="30">
        <v>28</v>
      </c>
      <c r="BQ97">
        <v>3</v>
      </c>
      <c r="BR97">
        <v>9</v>
      </c>
      <c r="BS97">
        <f>3670*9.8/100</f>
        <v>359.66</v>
      </c>
      <c r="BT97" s="1">
        <v>205</v>
      </c>
      <c r="BU97" s="75">
        <v>0.37</v>
      </c>
      <c r="BV97" s="1"/>
    </row>
    <row r="98" spans="1:74" s="3" customFormat="1">
      <c r="A98">
        <v>93</v>
      </c>
      <c r="B98" s="1">
        <v>1</v>
      </c>
      <c r="C98" s="3">
        <v>25</v>
      </c>
      <c r="D98" s="3" t="s">
        <v>50</v>
      </c>
      <c r="E98" s="3">
        <v>1990</v>
      </c>
      <c r="F98" s="3" t="s">
        <v>27</v>
      </c>
      <c r="G98" s="3" t="s">
        <v>160</v>
      </c>
      <c r="H98" s="4" t="s">
        <v>183</v>
      </c>
      <c r="I98" s="3">
        <f>442*9.8/100</f>
        <v>43.316000000000003</v>
      </c>
      <c r="J98" s="3">
        <f>442*9.8/100</f>
        <v>43.316000000000003</v>
      </c>
      <c r="K98" s="3">
        <f>442*9.8/100</f>
        <v>43.316000000000003</v>
      </c>
      <c r="L98" s="3">
        <v>2548</v>
      </c>
      <c r="M98" s="3">
        <v>1389</v>
      </c>
      <c r="N98" s="3">
        <v>0</v>
      </c>
      <c r="O98" s="3">
        <f>0.28*442*9.8/100*440*440/1000</f>
        <v>2348.0737280000003</v>
      </c>
      <c r="P98" s="3">
        <v>301</v>
      </c>
      <c r="Q98" s="3">
        <v>417</v>
      </c>
      <c r="R98" s="3" t="s">
        <v>57</v>
      </c>
      <c r="S98" s="9"/>
      <c r="T98" s="3">
        <v>19.100000000000001</v>
      </c>
      <c r="U98" s="3">
        <v>287</v>
      </c>
      <c r="V98" s="4">
        <f>4820*9.8/100</f>
        <v>472.36</v>
      </c>
      <c r="W98" s="4">
        <f>1860*9.8/100</f>
        <v>182.28</v>
      </c>
      <c r="X98" s="3" t="s">
        <v>181</v>
      </c>
      <c r="Y98" s="3">
        <v>52</v>
      </c>
      <c r="Z98" s="3">
        <v>4</v>
      </c>
      <c r="AA98" s="3">
        <v>6.4</v>
      </c>
      <c r="AB98" s="3">
        <v>32</v>
      </c>
      <c r="AC98" s="3">
        <f>12780*9.8/100</f>
        <v>1252.44</v>
      </c>
      <c r="AD98" s="3">
        <f>1850*9.8/100</f>
        <v>181.3</v>
      </c>
      <c r="AE98" s="3">
        <v>4</v>
      </c>
      <c r="AF98" s="3">
        <v>40</v>
      </c>
      <c r="AG98" s="3">
        <v>3</v>
      </c>
      <c r="AH98" s="3">
        <v>40</v>
      </c>
      <c r="AI98" s="3">
        <v>4</v>
      </c>
      <c r="AJ98" s="3">
        <v>40</v>
      </c>
      <c r="AK98" s="3">
        <v>3</v>
      </c>
      <c r="AL98" s="3">
        <v>40</v>
      </c>
      <c r="AM98" s="9"/>
      <c r="AN98" s="3">
        <v>440</v>
      </c>
      <c r="AO98" s="3">
        <v>440</v>
      </c>
      <c r="AP98" s="3" t="s">
        <v>57</v>
      </c>
      <c r="AQ98" s="9"/>
      <c r="AR98" s="3">
        <v>19.100000000000001</v>
      </c>
      <c r="AS98" s="3">
        <v>287</v>
      </c>
      <c r="AT98" s="3">
        <f>4820*9.8/100</f>
        <v>472.36</v>
      </c>
      <c r="AU98" s="3">
        <f>1860*9.8/100</f>
        <v>182.28</v>
      </c>
      <c r="AV98" s="3" t="s">
        <v>181</v>
      </c>
      <c r="AW98" s="3">
        <v>52</v>
      </c>
      <c r="AX98" s="3">
        <v>4</v>
      </c>
      <c r="AY98" s="3">
        <v>6.4</v>
      </c>
      <c r="AZ98" s="3">
        <v>31.7</v>
      </c>
      <c r="BA98" s="3">
        <f>12780*9.8/100</f>
        <v>1252.44</v>
      </c>
      <c r="BB98" s="3">
        <f>1850*9.8/100</f>
        <v>181.3</v>
      </c>
      <c r="BC98" s="3">
        <v>4</v>
      </c>
      <c r="BD98" s="3">
        <v>40</v>
      </c>
      <c r="BE98" s="3">
        <v>2</v>
      </c>
      <c r="BF98" s="3">
        <v>120</v>
      </c>
      <c r="BG98" s="3">
        <v>4</v>
      </c>
      <c r="BH98" s="3">
        <v>40</v>
      </c>
      <c r="BI98" s="3">
        <v>2</v>
      </c>
      <c r="BJ98" s="3">
        <v>120</v>
      </c>
      <c r="BK98" s="9"/>
      <c r="BL98" s="9">
        <v>0</v>
      </c>
      <c r="BM98" s="3" t="s">
        <v>166</v>
      </c>
      <c r="BN98" s="3" t="s">
        <v>686</v>
      </c>
      <c r="BO98" s="9"/>
      <c r="BP98" s="9">
        <v>30</v>
      </c>
      <c r="BQ98" s="3">
        <v>5</v>
      </c>
      <c r="BR98" s="3">
        <v>10</v>
      </c>
      <c r="BS98" s="4">
        <f>12780*9.8/100</f>
        <v>1252.44</v>
      </c>
      <c r="BT98" s="4">
        <f>1850*9.8/100</f>
        <v>181.3</v>
      </c>
      <c r="BU98" s="82">
        <v>0.27100000000000002</v>
      </c>
      <c r="BV98" s="4"/>
    </row>
    <row r="99" spans="1:74">
      <c r="A99">
        <v>94</v>
      </c>
      <c r="B99" s="1">
        <v>1</v>
      </c>
      <c r="C99">
        <v>26</v>
      </c>
      <c r="D99" t="s">
        <v>51</v>
      </c>
      <c r="E99">
        <v>1991</v>
      </c>
      <c r="F99" t="s">
        <v>33</v>
      </c>
      <c r="G99" s="7" t="s">
        <v>523</v>
      </c>
      <c r="H99" s="7" t="s">
        <v>524</v>
      </c>
      <c r="I99">
        <f t="shared" ref="I99:K100" si="49">714*9.8/100</f>
        <v>69.972000000000008</v>
      </c>
      <c r="J99">
        <f t="shared" si="49"/>
        <v>69.972000000000008</v>
      </c>
      <c r="K99">
        <f t="shared" si="49"/>
        <v>69.972000000000008</v>
      </c>
      <c r="L99" s="7">
        <v>2700</v>
      </c>
      <c r="M99" s="7">
        <v>1470</v>
      </c>
      <c r="N99" s="7">
        <v>0</v>
      </c>
      <c r="O99">
        <f t="shared" ref="O99:O104" si="50">100*9.8</f>
        <v>980.00000000000011</v>
      </c>
      <c r="P99" s="7">
        <v>200</v>
      </c>
      <c r="Q99" s="7">
        <v>300</v>
      </c>
      <c r="R99" s="7" t="s">
        <v>531</v>
      </c>
      <c r="S99" s="30" t="s">
        <v>532</v>
      </c>
      <c r="T99" s="7">
        <v>12.7</v>
      </c>
      <c r="U99" s="7">
        <v>127</v>
      </c>
      <c r="V99" s="1">
        <f t="shared" ref="V99:V104" si="51">7320*9.8/100</f>
        <v>717.36</v>
      </c>
      <c r="W99" s="1">
        <f t="shared" ref="W99:W104" si="52">1900*9.8/100</f>
        <v>186.2</v>
      </c>
      <c r="X99" s="7" t="s">
        <v>534</v>
      </c>
      <c r="Y99">
        <v>50</v>
      </c>
      <c r="Z99" s="7">
        <v>2</v>
      </c>
      <c r="AA99" s="7">
        <v>6.35</v>
      </c>
      <c r="AB99" s="7">
        <v>31.7</v>
      </c>
      <c r="AC99">
        <f t="shared" ref="AC99:AC104" si="53">9740*9.8/100</f>
        <v>954.52</v>
      </c>
      <c r="AD99">
        <f t="shared" ref="AD99:AD104" si="54">1860*9.8/100</f>
        <v>182.28</v>
      </c>
      <c r="AE99" s="7">
        <v>5</v>
      </c>
      <c r="AF99" s="7">
        <v>30</v>
      </c>
      <c r="AG99" s="7">
        <v>4</v>
      </c>
      <c r="AH99" s="7">
        <v>40</v>
      </c>
      <c r="AI99" s="7">
        <v>5</v>
      </c>
      <c r="AJ99" s="7">
        <v>30</v>
      </c>
      <c r="AK99" s="7">
        <v>2</v>
      </c>
      <c r="AL99" s="7">
        <v>40</v>
      </c>
      <c r="AN99" s="7">
        <v>300</v>
      </c>
      <c r="AO99" s="7">
        <v>300</v>
      </c>
      <c r="AP99" s="7" t="s">
        <v>533</v>
      </c>
      <c r="AQ99" s="30" t="s">
        <v>532</v>
      </c>
      <c r="AR99" s="7">
        <v>12.7</v>
      </c>
      <c r="AS99" s="7">
        <v>127</v>
      </c>
      <c r="AT99">
        <f t="shared" ref="AT99:AT104" si="55">7320*9.8/100</f>
        <v>717.36</v>
      </c>
      <c r="AU99">
        <f t="shared" ref="AU99:AU104" si="56">1900*9.8/100</f>
        <v>186.2</v>
      </c>
      <c r="AV99" s="7" t="s">
        <v>534</v>
      </c>
      <c r="AW99">
        <v>40</v>
      </c>
      <c r="AX99" s="7">
        <v>2</v>
      </c>
      <c r="AY99" s="7">
        <v>6.35</v>
      </c>
      <c r="AZ99" s="7">
        <v>31.7</v>
      </c>
      <c r="BA99">
        <f t="shared" ref="BA99:BA104" si="57">9740*9.8/100</f>
        <v>954.52</v>
      </c>
      <c r="BB99">
        <f t="shared" ref="BB99:BB104" si="58">1860*9.8/100</f>
        <v>182.28</v>
      </c>
      <c r="BC99" s="37">
        <v>8</v>
      </c>
      <c r="BD99" s="35">
        <v>40</v>
      </c>
      <c r="BE99" s="37">
        <v>2</v>
      </c>
      <c r="BF99" s="22">
        <f t="shared" ref="BF99:BF104" si="59">2.5*13</f>
        <v>32.5</v>
      </c>
      <c r="BG99" s="37">
        <v>8</v>
      </c>
      <c r="BH99" s="35">
        <v>40</v>
      </c>
      <c r="BI99" s="37">
        <v>2</v>
      </c>
      <c r="BJ99" s="22">
        <f t="shared" ref="BJ99:BJ104" si="60">2.5*13</f>
        <v>32.5</v>
      </c>
      <c r="BL99" s="30">
        <v>0</v>
      </c>
      <c r="BM99" s="7" t="s">
        <v>442</v>
      </c>
      <c r="BN99" s="7" t="s">
        <v>689</v>
      </c>
      <c r="BO99" s="31"/>
      <c r="BP99" s="31">
        <v>31.7</v>
      </c>
      <c r="BQ99" s="7">
        <v>3</v>
      </c>
      <c r="BR99" s="7">
        <v>12</v>
      </c>
      <c r="BS99">
        <f t="shared" ref="BS99:BS104" si="61">9740*9.8/100</f>
        <v>954.52</v>
      </c>
      <c r="BT99">
        <f t="shared" ref="BT99:BT104" si="62">1860*9.8/100</f>
        <v>182.28</v>
      </c>
      <c r="BU99" s="23">
        <v>0.54</v>
      </c>
    </row>
    <row r="100" spans="1:74">
      <c r="A100">
        <v>95</v>
      </c>
      <c r="B100" s="1">
        <v>2</v>
      </c>
      <c r="G100" s="7" t="s">
        <v>525</v>
      </c>
      <c r="H100" s="35" t="s">
        <v>526</v>
      </c>
      <c r="I100">
        <f t="shared" si="49"/>
        <v>69.972000000000008</v>
      </c>
      <c r="J100">
        <f t="shared" si="49"/>
        <v>69.972000000000008</v>
      </c>
      <c r="K100">
        <f t="shared" si="49"/>
        <v>69.972000000000008</v>
      </c>
      <c r="L100" s="7">
        <v>2700</v>
      </c>
      <c r="M100" s="7">
        <v>1470</v>
      </c>
      <c r="N100" s="7">
        <v>0</v>
      </c>
      <c r="O100">
        <f t="shared" si="50"/>
        <v>980.00000000000011</v>
      </c>
      <c r="P100" s="7">
        <v>200</v>
      </c>
      <c r="Q100" s="7">
        <v>300</v>
      </c>
      <c r="R100" s="7" t="s">
        <v>533</v>
      </c>
      <c r="S100" s="30" t="s">
        <v>532</v>
      </c>
      <c r="T100" s="7">
        <v>12.7</v>
      </c>
      <c r="U100" s="7">
        <v>127</v>
      </c>
      <c r="V100" s="1">
        <f t="shared" si="51"/>
        <v>717.36</v>
      </c>
      <c r="W100" s="1">
        <f t="shared" si="52"/>
        <v>186.2</v>
      </c>
      <c r="X100" s="7" t="s">
        <v>535</v>
      </c>
      <c r="Y100">
        <v>50</v>
      </c>
      <c r="Z100" s="7">
        <v>2</v>
      </c>
      <c r="AA100" s="7">
        <v>6.35</v>
      </c>
      <c r="AB100" s="7">
        <v>31.7</v>
      </c>
      <c r="AC100">
        <f t="shared" si="53"/>
        <v>954.52</v>
      </c>
      <c r="AD100">
        <f t="shared" si="54"/>
        <v>182.28</v>
      </c>
      <c r="AE100" s="7">
        <v>5</v>
      </c>
      <c r="AF100" s="7">
        <v>30</v>
      </c>
      <c r="AG100" s="7">
        <v>4</v>
      </c>
      <c r="AH100" s="7">
        <v>40</v>
      </c>
      <c r="AI100" s="7">
        <v>5</v>
      </c>
      <c r="AJ100" s="7">
        <v>30</v>
      </c>
      <c r="AK100" s="7">
        <v>2</v>
      </c>
      <c r="AL100" s="7">
        <v>40</v>
      </c>
      <c r="AN100" s="7">
        <v>300</v>
      </c>
      <c r="AO100" s="7">
        <v>300</v>
      </c>
      <c r="AP100" s="7" t="s">
        <v>531</v>
      </c>
      <c r="AQ100" s="30" t="s">
        <v>532</v>
      </c>
      <c r="AR100" s="7">
        <v>12.7</v>
      </c>
      <c r="AS100" s="7">
        <v>127</v>
      </c>
      <c r="AT100">
        <f t="shared" si="55"/>
        <v>717.36</v>
      </c>
      <c r="AU100">
        <f t="shared" si="56"/>
        <v>186.2</v>
      </c>
      <c r="AV100" s="7" t="s">
        <v>535</v>
      </c>
      <c r="AW100">
        <v>40</v>
      </c>
      <c r="AX100" s="7">
        <v>2</v>
      </c>
      <c r="AY100" s="7">
        <v>6.35</v>
      </c>
      <c r="AZ100" s="7">
        <v>31.7</v>
      </c>
      <c r="BA100">
        <f t="shared" si="57"/>
        <v>954.52</v>
      </c>
      <c r="BB100">
        <f t="shared" si="58"/>
        <v>182.28</v>
      </c>
      <c r="BC100" s="37">
        <v>8</v>
      </c>
      <c r="BD100" s="35">
        <v>40</v>
      </c>
      <c r="BE100" s="37">
        <v>2</v>
      </c>
      <c r="BF100" s="22">
        <f t="shared" si="59"/>
        <v>32.5</v>
      </c>
      <c r="BG100" s="37">
        <v>8</v>
      </c>
      <c r="BH100" s="35">
        <v>40</v>
      </c>
      <c r="BI100" s="37">
        <v>2</v>
      </c>
      <c r="BJ100" s="22">
        <f t="shared" si="60"/>
        <v>32.5</v>
      </c>
      <c r="BL100" s="30">
        <v>0</v>
      </c>
      <c r="BM100" s="7" t="s">
        <v>442</v>
      </c>
      <c r="BN100" s="7" t="s">
        <v>690</v>
      </c>
      <c r="BO100" s="31"/>
      <c r="BP100" s="31"/>
      <c r="BQ100" s="7">
        <v>3</v>
      </c>
      <c r="BR100" s="7">
        <v>12</v>
      </c>
      <c r="BS100">
        <f t="shared" si="61"/>
        <v>954.52</v>
      </c>
      <c r="BT100">
        <f t="shared" si="62"/>
        <v>182.28</v>
      </c>
      <c r="BU100" s="23">
        <v>0.54</v>
      </c>
    </row>
    <row r="101" spans="1:74">
      <c r="A101">
        <v>96</v>
      </c>
      <c r="B101" s="1">
        <v>1</v>
      </c>
      <c r="G101" s="7" t="s">
        <v>525</v>
      </c>
      <c r="H101" s="7" t="s">
        <v>527</v>
      </c>
      <c r="I101">
        <f>1091*9.8/100</f>
        <v>106.91800000000001</v>
      </c>
      <c r="J101">
        <f>1091*9.8/100</f>
        <v>106.91800000000001</v>
      </c>
      <c r="K101">
        <f>1091*9.8/100</f>
        <v>106.91800000000001</v>
      </c>
      <c r="L101" s="7">
        <v>2700</v>
      </c>
      <c r="M101" s="7">
        <v>1470</v>
      </c>
      <c r="N101" s="7">
        <v>0</v>
      </c>
      <c r="O101">
        <f t="shared" si="50"/>
        <v>980.00000000000011</v>
      </c>
      <c r="P101" s="7">
        <v>200</v>
      </c>
      <c r="Q101" s="7">
        <v>300</v>
      </c>
      <c r="R101" s="7" t="s">
        <v>62</v>
      </c>
      <c r="S101" s="30" t="s">
        <v>177</v>
      </c>
      <c r="T101" s="7">
        <v>12.7</v>
      </c>
      <c r="U101" s="7">
        <v>127</v>
      </c>
      <c r="V101" s="1">
        <f t="shared" si="51"/>
        <v>717.36</v>
      </c>
      <c r="W101" s="1">
        <f t="shared" si="52"/>
        <v>186.2</v>
      </c>
      <c r="X101" s="7" t="s">
        <v>40</v>
      </c>
      <c r="Y101">
        <v>50</v>
      </c>
      <c r="Z101" s="7">
        <v>2</v>
      </c>
      <c r="AA101" s="7">
        <v>6.35</v>
      </c>
      <c r="AB101" s="7">
        <v>31.7</v>
      </c>
      <c r="AC101">
        <f t="shared" si="53"/>
        <v>954.52</v>
      </c>
      <c r="AD101">
        <f t="shared" si="54"/>
        <v>182.28</v>
      </c>
      <c r="AE101" s="7">
        <v>5</v>
      </c>
      <c r="AF101" s="7">
        <v>30</v>
      </c>
      <c r="AG101" s="7">
        <v>5</v>
      </c>
      <c r="AH101" s="7">
        <v>40</v>
      </c>
      <c r="AI101" s="7">
        <v>5</v>
      </c>
      <c r="AJ101" s="7">
        <v>30</v>
      </c>
      <c r="AK101" s="7">
        <v>5</v>
      </c>
      <c r="AL101" s="7">
        <v>40</v>
      </c>
      <c r="AN101" s="7">
        <v>300</v>
      </c>
      <c r="AO101" s="7">
        <v>300</v>
      </c>
      <c r="AP101" s="7" t="s">
        <v>62</v>
      </c>
      <c r="AQ101" s="30" t="s">
        <v>177</v>
      </c>
      <c r="AR101" s="7">
        <v>12.7</v>
      </c>
      <c r="AS101" s="7">
        <v>127</v>
      </c>
      <c r="AT101">
        <f t="shared" si="55"/>
        <v>717.36</v>
      </c>
      <c r="AU101">
        <f t="shared" si="56"/>
        <v>186.2</v>
      </c>
      <c r="AV101" s="7" t="s">
        <v>535</v>
      </c>
      <c r="AW101">
        <v>40</v>
      </c>
      <c r="AX101" s="7">
        <v>2</v>
      </c>
      <c r="AY101" s="7">
        <v>6.35</v>
      </c>
      <c r="AZ101" s="7">
        <v>31.7</v>
      </c>
      <c r="BA101">
        <f t="shared" si="57"/>
        <v>954.52</v>
      </c>
      <c r="BB101">
        <f t="shared" si="58"/>
        <v>182.28</v>
      </c>
      <c r="BC101" s="37">
        <v>8</v>
      </c>
      <c r="BD101" s="35">
        <v>40</v>
      </c>
      <c r="BE101" s="37">
        <v>2</v>
      </c>
      <c r="BF101" s="22">
        <f t="shared" si="59"/>
        <v>32.5</v>
      </c>
      <c r="BG101" s="37">
        <v>8</v>
      </c>
      <c r="BH101" s="35">
        <v>40</v>
      </c>
      <c r="BI101" s="37">
        <v>2</v>
      </c>
      <c r="BJ101" s="22">
        <f t="shared" si="60"/>
        <v>32.5</v>
      </c>
      <c r="BL101" s="30">
        <v>2</v>
      </c>
      <c r="BM101" s="7" t="s">
        <v>507</v>
      </c>
      <c r="BN101" s="7" t="s">
        <v>40</v>
      </c>
      <c r="BO101" s="31"/>
      <c r="BP101" s="31">
        <v>31.7</v>
      </c>
      <c r="BQ101" s="7">
        <v>3</v>
      </c>
      <c r="BR101" s="7">
        <v>12</v>
      </c>
      <c r="BS101">
        <f t="shared" si="61"/>
        <v>954.52</v>
      </c>
      <c r="BT101">
        <f t="shared" si="62"/>
        <v>182.28</v>
      </c>
      <c r="BU101" s="23">
        <v>0.54</v>
      </c>
    </row>
    <row r="102" spans="1:74">
      <c r="A102">
        <v>97</v>
      </c>
      <c r="B102" s="1">
        <v>1</v>
      </c>
      <c r="C102" s="17"/>
      <c r="D102" s="17"/>
      <c r="E102" s="17"/>
      <c r="F102" s="17"/>
      <c r="G102" s="7" t="s">
        <v>523</v>
      </c>
      <c r="H102" s="7" t="s">
        <v>528</v>
      </c>
      <c r="I102" s="17">
        <f t="shared" ref="I102:K103" si="63">714*9.8/100</f>
        <v>69.972000000000008</v>
      </c>
      <c r="J102" s="17">
        <f t="shared" si="63"/>
        <v>69.972000000000008</v>
      </c>
      <c r="K102" s="17">
        <f t="shared" si="63"/>
        <v>69.972000000000008</v>
      </c>
      <c r="L102" s="7">
        <v>2700</v>
      </c>
      <c r="M102" s="7">
        <v>1470</v>
      </c>
      <c r="N102" s="7">
        <v>0</v>
      </c>
      <c r="O102" s="17">
        <f t="shared" si="50"/>
        <v>980.00000000000011</v>
      </c>
      <c r="P102" s="7">
        <v>200</v>
      </c>
      <c r="Q102" s="7">
        <v>300</v>
      </c>
      <c r="R102" s="7" t="s">
        <v>62</v>
      </c>
      <c r="S102" s="31" t="s">
        <v>177</v>
      </c>
      <c r="T102" s="7">
        <v>12.7</v>
      </c>
      <c r="U102" s="7">
        <v>127</v>
      </c>
      <c r="V102" s="7">
        <f t="shared" si="51"/>
        <v>717.36</v>
      </c>
      <c r="W102" s="7">
        <f t="shared" si="52"/>
        <v>186.2</v>
      </c>
      <c r="X102" s="7" t="s">
        <v>40</v>
      </c>
      <c r="Y102" s="17">
        <v>50</v>
      </c>
      <c r="Z102" s="7">
        <v>2</v>
      </c>
      <c r="AA102" s="7">
        <v>6.35</v>
      </c>
      <c r="AB102" s="7">
        <v>31.7</v>
      </c>
      <c r="AC102" s="17">
        <f t="shared" si="53"/>
        <v>954.52</v>
      </c>
      <c r="AD102" s="17">
        <f t="shared" si="54"/>
        <v>182.28</v>
      </c>
      <c r="AE102" s="7">
        <v>5</v>
      </c>
      <c r="AF102" s="7">
        <v>30</v>
      </c>
      <c r="AG102" s="7">
        <v>4</v>
      </c>
      <c r="AH102" s="7">
        <v>40</v>
      </c>
      <c r="AI102" s="7">
        <v>5</v>
      </c>
      <c r="AJ102" s="7">
        <v>30</v>
      </c>
      <c r="AK102" s="7">
        <v>2</v>
      </c>
      <c r="AL102" s="7">
        <v>40</v>
      </c>
      <c r="AM102" s="31"/>
      <c r="AN102" s="7">
        <v>300</v>
      </c>
      <c r="AO102" s="7">
        <v>300</v>
      </c>
      <c r="AP102" s="7" t="s">
        <v>62</v>
      </c>
      <c r="AQ102" s="31" t="s">
        <v>177</v>
      </c>
      <c r="AR102" s="7">
        <v>12.7</v>
      </c>
      <c r="AS102" s="7">
        <v>127</v>
      </c>
      <c r="AT102" s="17">
        <f t="shared" si="55"/>
        <v>717.36</v>
      </c>
      <c r="AU102" s="17">
        <f t="shared" si="56"/>
        <v>186.2</v>
      </c>
      <c r="AV102" s="7" t="s">
        <v>534</v>
      </c>
      <c r="AW102" s="17">
        <v>40</v>
      </c>
      <c r="AX102" s="7">
        <v>2</v>
      </c>
      <c r="AY102" s="7">
        <v>6.35</v>
      </c>
      <c r="AZ102" s="7">
        <v>31.7</v>
      </c>
      <c r="BA102" s="17">
        <f t="shared" si="57"/>
        <v>954.52</v>
      </c>
      <c r="BB102" s="17">
        <f t="shared" si="58"/>
        <v>182.28</v>
      </c>
      <c r="BC102" s="37">
        <v>8</v>
      </c>
      <c r="BD102" s="35">
        <v>40</v>
      </c>
      <c r="BE102" s="37">
        <v>2</v>
      </c>
      <c r="BF102" s="37">
        <f t="shared" si="59"/>
        <v>32.5</v>
      </c>
      <c r="BG102" s="37">
        <v>8</v>
      </c>
      <c r="BH102" s="35">
        <v>40</v>
      </c>
      <c r="BI102" s="37">
        <v>2</v>
      </c>
      <c r="BJ102" s="37">
        <f t="shared" si="60"/>
        <v>32.5</v>
      </c>
      <c r="BK102" s="31"/>
      <c r="BL102" s="31">
        <v>0</v>
      </c>
      <c r="BM102" s="7" t="s">
        <v>507</v>
      </c>
      <c r="BN102" s="7" t="s">
        <v>40</v>
      </c>
      <c r="BO102" s="31"/>
      <c r="BP102" s="31">
        <v>31.7</v>
      </c>
      <c r="BQ102" s="7">
        <v>3</v>
      </c>
      <c r="BR102" s="7">
        <v>12</v>
      </c>
      <c r="BS102" s="17">
        <f t="shared" si="61"/>
        <v>954.52</v>
      </c>
      <c r="BT102" s="17">
        <f t="shared" si="62"/>
        <v>182.28</v>
      </c>
      <c r="BU102" s="86">
        <v>0.54</v>
      </c>
      <c r="BV102" s="17"/>
    </row>
    <row r="103" spans="1:74">
      <c r="A103">
        <v>98</v>
      </c>
      <c r="B103" s="1">
        <v>1</v>
      </c>
      <c r="C103" s="17"/>
      <c r="D103" s="17"/>
      <c r="E103" s="17"/>
      <c r="F103" s="17"/>
      <c r="G103" s="7" t="s">
        <v>525</v>
      </c>
      <c r="H103" s="7" t="s">
        <v>529</v>
      </c>
      <c r="I103" s="17">
        <f t="shared" si="63"/>
        <v>69.972000000000008</v>
      </c>
      <c r="J103" s="17">
        <f t="shared" si="63"/>
        <v>69.972000000000008</v>
      </c>
      <c r="K103" s="17">
        <f t="shared" si="63"/>
        <v>69.972000000000008</v>
      </c>
      <c r="L103" s="7">
        <v>2700</v>
      </c>
      <c r="M103" s="7">
        <v>1470</v>
      </c>
      <c r="N103" s="7">
        <v>0</v>
      </c>
      <c r="O103" s="17">
        <f t="shared" si="50"/>
        <v>980.00000000000011</v>
      </c>
      <c r="P103" s="7">
        <v>200</v>
      </c>
      <c r="Q103" s="7">
        <v>300</v>
      </c>
      <c r="R103" s="7" t="s">
        <v>62</v>
      </c>
      <c r="S103" s="31" t="s">
        <v>177</v>
      </c>
      <c r="T103" s="7">
        <v>12.7</v>
      </c>
      <c r="U103" s="7">
        <v>127</v>
      </c>
      <c r="V103" s="7">
        <f t="shared" si="51"/>
        <v>717.36</v>
      </c>
      <c r="W103" s="7">
        <f t="shared" si="52"/>
        <v>186.2</v>
      </c>
      <c r="X103" s="7" t="s">
        <v>40</v>
      </c>
      <c r="Y103" s="17">
        <v>50</v>
      </c>
      <c r="Z103" s="7">
        <v>2</v>
      </c>
      <c r="AA103" s="7">
        <v>6.35</v>
      </c>
      <c r="AB103" s="7">
        <v>31.7</v>
      </c>
      <c r="AC103" s="17">
        <f t="shared" si="53"/>
        <v>954.52</v>
      </c>
      <c r="AD103" s="17">
        <f t="shared" si="54"/>
        <v>182.28</v>
      </c>
      <c r="AE103" s="7">
        <v>5</v>
      </c>
      <c r="AF103" s="7">
        <v>30</v>
      </c>
      <c r="AG103" s="7">
        <v>5</v>
      </c>
      <c r="AH103" s="7">
        <v>40</v>
      </c>
      <c r="AI103" s="7">
        <v>5</v>
      </c>
      <c r="AJ103" s="7">
        <v>30</v>
      </c>
      <c r="AK103" s="7">
        <v>5</v>
      </c>
      <c r="AL103" s="7">
        <v>40</v>
      </c>
      <c r="AM103" s="31"/>
      <c r="AN103" s="7">
        <v>300</v>
      </c>
      <c r="AO103" s="7">
        <v>300</v>
      </c>
      <c r="AP103" s="7" t="s">
        <v>62</v>
      </c>
      <c r="AQ103" s="31" t="s">
        <v>177</v>
      </c>
      <c r="AR103" s="7">
        <v>12.7</v>
      </c>
      <c r="AS103" s="7">
        <v>127</v>
      </c>
      <c r="AT103" s="17">
        <f t="shared" si="55"/>
        <v>717.36</v>
      </c>
      <c r="AU103" s="17">
        <f t="shared" si="56"/>
        <v>186.2</v>
      </c>
      <c r="AV103" s="7" t="s">
        <v>535</v>
      </c>
      <c r="AW103" s="17">
        <v>40</v>
      </c>
      <c r="AX103" s="7">
        <v>2</v>
      </c>
      <c r="AY103" s="7">
        <v>6.35</v>
      </c>
      <c r="AZ103" s="7">
        <v>31.7</v>
      </c>
      <c r="BA103" s="17">
        <f t="shared" si="57"/>
        <v>954.52</v>
      </c>
      <c r="BB103" s="17">
        <f t="shared" si="58"/>
        <v>182.28</v>
      </c>
      <c r="BC103" s="37">
        <v>8</v>
      </c>
      <c r="BD103" s="35">
        <v>40</v>
      </c>
      <c r="BE103" s="37">
        <v>2</v>
      </c>
      <c r="BF103" s="37">
        <f t="shared" si="59"/>
        <v>32.5</v>
      </c>
      <c r="BG103" s="37">
        <v>8</v>
      </c>
      <c r="BH103" s="35">
        <v>40</v>
      </c>
      <c r="BI103" s="37">
        <v>2</v>
      </c>
      <c r="BJ103" s="37">
        <f t="shared" si="60"/>
        <v>32.5</v>
      </c>
      <c r="BK103" s="31"/>
      <c r="BL103" s="31">
        <v>4</v>
      </c>
      <c r="BM103" s="7" t="s">
        <v>442</v>
      </c>
      <c r="BN103" s="7" t="s">
        <v>40</v>
      </c>
      <c r="BO103" s="31"/>
      <c r="BP103" s="31">
        <v>31.7</v>
      </c>
      <c r="BQ103" s="7">
        <v>3</v>
      </c>
      <c r="BR103" s="7">
        <v>12</v>
      </c>
      <c r="BS103" s="17">
        <f t="shared" si="61"/>
        <v>954.52</v>
      </c>
      <c r="BT103" s="17">
        <f t="shared" si="62"/>
        <v>182.28</v>
      </c>
      <c r="BU103" s="23">
        <v>0.54</v>
      </c>
      <c r="BV103" s="17"/>
    </row>
    <row r="104" spans="1:74">
      <c r="A104">
        <v>99</v>
      </c>
      <c r="B104" s="1">
        <v>1</v>
      </c>
      <c r="G104" s="7" t="s">
        <v>525</v>
      </c>
      <c r="H104" s="7" t="s">
        <v>530</v>
      </c>
      <c r="I104">
        <f>546*9.8/100</f>
        <v>53.508000000000003</v>
      </c>
      <c r="J104">
        <f>546*9.8/100</f>
        <v>53.508000000000003</v>
      </c>
      <c r="K104">
        <f>546*9.8/100</f>
        <v>53.508000000000003</v>
      </c>
      <c r="L104" s="7">
        <v>2700</v>
      </c>
      <c r="M104" s="7">
        <v>1470</v>
      </c>
      <c r="N104" s="7">
        <v>0</v>
      </c>
      <c r="O104">
        <f t="shared" si="50"/>
        <v>980.00000000000011</v>
      </c>
      <c r="P104" s="7">
        <v>200</v>
      </c>
      <c r="Q104" s="7">
        <v>300</v>
      </c>
      <c r="R104" s="7" t="s">
        <v>62</v>
      </c>
      <c r="S104" s="30" t="s">
        <v>177</v>
      </c>
      <c r="T104" s="7">
        <v>12.7</v>
      </c>
      <c r="U104" s="7">
        <v>127</v>
      </c>
      <c r="V104" s="1">
        <f t="shared" si="51"/>
        <v>717.36</v>
      </c>
      <c r="W104" s="1">
        <f t="shared" si="52"/>
        <v>186.2</v>
      </c>
      <c r="X104" s="7" t="s">
        <v>40</v>
      </c>
      <c r="Y104">
        <v>50</v>
      </c>
      <c r="Z104" s="7">
        <v>2</v>
      </c>
      <c r="AA104" s="7">
        <v>6.35</v>
      </c>
      <c r="AB104" s="7">
        <v>31.7</v>
      </c>
      <c r="AC104">
        <f t="shared" si="53"/>
        <v>954.52</v>
      </c>
      <c r="AD104">
        <f t="shared" si="54"/>
        <v>182.28</v>
      </c>
      <c r="AE104" s="7">
        <v>5</v>
      </c>
      <c r="AF104" s="7">
        <v>30</v>
      </c>
      <c r="AG104" s="7">
        <v>4</v>
      </c>
      <c r="AH104" s="7">
        <v>40</v>
      </c>
      <c r="AI104" s="7">
        <v>5</v>
      </c>
      <c r="AJ104" s="7">
        <v>30</v>
      </c>
      <c r="AK104" s="7">
        <v>2</v>
      </c>
      <c r="AL104" s="7">
        <v>40</v>
      </c>
      <c r="AN104" s="7">
        <v>300</v>
      </c>
      <c r="AO104" s="7">
        <v>300</v>
      </c>
      <c r="AP104" s="7" t="s">
        <v>62</v>
      </c>
      <c r="AQ104" s="30" t="s">
        <v>177</v>
      </c>
      <c r="AR104" s="7">
        <v>12.7</v>
      </c>
      <c r="AS104" s="7">
        <v>127</v>
      </c>
      <c r="AT104">
        <f t="shared" si="55"/>
        <v>717.36</v>
      </c>
      <c r="AU104">
        <f t="shared" si="56"/>
        <v>186.2</v>
      </c>
      <c r="AV104" s="7" t="s">
        <v>536</v>
      </c>
      <c r="AW104">
        <v>40</v>
      </c>
      <c r="AX104" s="7">
        <v>2</v>
      </c>
      <c r="AY104" s="7">
        <v>6.35</v>
      </c>
      <c r="AZ104" s="7">
        <v>31.7</v>
      </c>
      <c r="BA104">
        <f t="shared" si="57"/>
        <v>954.52</v>
      </c>
      <c r="BB104">
        <f t="shared" si="58"/>
        <v>182.28</v>
      </c>
      <c r="BC104" s="37">
        <v>8</v>
      </c>
      <c r="BD104" s="35">
        <v>40</v>
      </c>
      <c r="BE104" s="37">
        <v>2</v>
      </c>
      <c r="BF104" s="22">
        <f t="shared" si="59"/>
        <v>32.5</v>
      </c>
      <c r="BG104" s="37">
        <v>8</v>
      </c>
      <c r="BH104" s="35">
        <v>40</v>
      </c>
      <c r="BI104" s="37">
        <v>2</v>
      </c>
      <c r="BJ104" s="22">
        <f t="shared" si="60"/>
        <v>32.5</v>
      </c>
      <c r="BL104" s="30">
        <v>0</v>
      </c>
      <c r="BM104" s="7" t="s">
        <v>442</v>
      </c>
      <c r="BN104" s="7" t="s">
        <v>40</v>
      </c>
      <c r="BO104" s="31"/>
      <c r="BP104" s="31">
        <v>31.7</v>
      </c>
      <c r="BQ104" s="7">
        <v>3</v>
      </c>
      <c r="BR104" s="7">
        <v>12</v>
      </c>
      <c r="BS104">
        <f t="shared" si="61"/>
        <v>954.52</v>
      </c>
      <c r="BT104">
        <f t="shared" si="62"/>
        <v>182.28</v>
      </c>
      <c r="BU104" s="23">
        <v>0.54</v>
      </c>
    </row>
    <row r="105" spans="1:74">
      <c r="A105">
        <v>100</v>
      </c>
      <c r="B105" s="1">
        <v>1</v>
      </c>
      <c r="C105">
        <v>27</v>
      </c>
      <c r="D105" t="s">
        <v>52</v>
      </c>
      <c r="E105">
        <v>1991</v>
      </c>
      <c r="F105" t="s">
        <v>33</v>
      </c>
      <c r="G105" s="7" t="s">
        <v>405</v>
      </c>
      <c r="H105" s="1" t="s">
        <v>637</v>
      </c>
      <c r="I105">
        <f t="shared" ref="I105:K106" si="64">870*9.8/100</f>
        <v>85.26</v>
      </c>
      <c r="J105">
        <f t="shared" si="64"/>
        <v>85.26</v>
      </c>
      <c r="K105">
        <f t="shared" si="64"/>
        <v>85.26</v>
      </c>
      <c r="L105" s="7">
        <v>2700</v>
      </c>
      <c r="M105" s="7">
        <v>1470</v>
      </c>
      <c r="N105" s="7">
        <v>0</v>
      </c>
      <c r="O105">
        <f>20*9.8*30*30/1000</f>
        <v>176.4</v>
      </c>
      <c r="P105" s="7">
        <v>200</v>
      </c>
      <c r="Q105" s="7">
        <v>300</v>
      </c>
      <c r="R105" s="7" t="s">
        <v>533</v>
      </c>
      <c r="T105" s="7">
        <v>12.7</v>
      </c>
      <c r="U105" s="7">
        <v>127</v>
      </c>
      <c r="V105" s="1">
        <f>7840*9.8/100</f>
        <v>768.32</v>
      </c>
      <c r="W105" s="21">
        <v>205</v>
      </c>
      <c r="X105" s="7" t="s">
        <v>535</v>
      </c>
      <c r="Y105">
        <v>40</v>
      </c>
      <c r="Z105" s="7">
        <v>2</v>
      </c>
      <c r="AA105" s="7">
        <v>6.35</v>
      </c>
      <c r="AB105" s="7">
        <v>31.7</v>
      </c>
      <c r="AC105">
        <f>4030*9.8/100</f>
        <v>394.94</v>
      </c>
      <c r="AD105" s="16">
        <v>205</v>
      </c>
      <c r="AE105" s="7">
        <v>4</v>
      </c>
      <c r="AF105" s="7">
        <v>40</v>
      </c>
      <c r="AG105" s="7">
        <v>2</v>
      </c>
      <c r="AH105" s="7">
        <v>40</v>
      </c>
      <c r="AI105" s="7">
        <v>3</v>
      </c>
      <c r="AJ105" s="7">
        <v>40</v>
      </c>
      <c r="AK105" s="7">
        <v>0</v>
      </c>
      <c r="AL105" s="7">
        <v>0</v>
      </c>
      <c r="AN105" s="7">
        <v>300</v>
      </c>
      <c r="AO105" s="7">
        <v>300</v>
      </c>
      <c r="AP105" s="7" t="s">
        <v>538</v>
      </c>
      <c r="AR105" s="7">
        <v>15.9</v>
      </c>
      <c r="AS105" s="7">
        <v>199</v>
      </c>
      <c r="AT105">
        <f>5440*9.8/100</f>
        <v>533.12000000000012</v>
      </c>
      <c r="AU105" s="16">
        <v>205</v>
      </c>
      <c r="AV105" s="7" t="s">
        <v>535</v>
      </c>
      <c r="AW105">
        <v>50</v>
      </c>
      <c r="AX105" s="7">
        <v>4</v>
      </c>
      <c r="AY105" s="7">
        <v>6.35</v>
      </c>
      <c r="AZ105" s="7">
        <v>31.7</v>
      </c>
      <c r="BA105">
        <f>4030*9.8/100</f>
        <v>394.94</v>
      </c>
      <c r="BB105" s="16">
        <v>205</v>
      </c>
      <c r="BC105" s="37">
        <v>5</v>
      </c>
      <c r="BD105" s="35">
        <v>40</v>
      </c>
      <c r="BE105" s="37">
        <v>2</v>
      </c>
      <c r="BF105" s="2">
        <v>65</v>
      </c>
      <c r="BG105" s="37">
        <v>5</v>
      </c>
      <c r="BH105" s="35">
        <v>40</v>
      </c>
      <c r="BI105" s="37">
        <v>2</v>
      </c>
      <c r="BJ105" s="37">
        <v>65</v>
      </c>
      <c r="BL105" s="30">
        <v>2</v>
      </c>
      <c r="BM105" s="7" t="s">
        <v>539</v>
      </c>
      <c r="BN105" s="7" t="s">
        <v>691</v>
      </c>
      <c r="BO105" s="31"/>
      <c r="BP105" s="31">
        <v>23.758294442772812</v>
      </c>
      <c r="BQ105" s="7">
        <v>3</v>
      </c>
      <c r="BR105" s="7">
        <v>12</v>
      </c>
      <c r="BS105">
        <f>2550*9.8/100</f>
        <v>249.9</v>
      </c>
      <c r="BT105" s="16">
        <v>205</v>
      </c>
      <c r="BU105" s="76">
        <v>0.42</v>
      </c>
    </row>
    <row r="106" spans="1:74">
      <c r="A106">
        <v>101</v>
      </c>
      <c r="B106" s="1">
        <v>1</v>
      </c>
      <c r="C106" s="17"/>
      <c r="D106" s="17"/>
      <c r="E106" s="17"/>
      <c r="F106" s="17"/>
      <c r="G106" s="17" t="s">
        <v>405</v>
      </c>
      <c r="H106" s="7" t="s">
        <v>638</v>
      </c>
      <c r="I106">
        <f t="shared" si="64"/>
        <v>85.26</v>
      </c>
      <c r="J106">
        <f t="shared" si="64"/>
        <v>85.26</v>
      </c>
      <c r="K106">
        <f t="shared" si="64"/>
        <v>85.26</v>
      </c>
      <c r="L106" s="7">
        <v>2700</v>
      </c>
      <c r="M106" s="7">
        <v>1470</v>
      </c>
      <c r="N106" s="7">
        <v>0</v>
      </c>
      <c r="O106">
        <f>20*9.8*30*30/1000</f>
        <v>176.4</v>
      </c>
      <c r="P106" s="7">
        <v>200</v>
      </c>
      <c r="Q106" s="7">
        <v>300</v>
      </c>
      <c r="R106" s="7" t="s">
        <v>537</v>
      </c>
      <c r="S106" s="31"/>
      <c r="T106" s="7">
        <v>287</v>
      </c>
      <c r="U106" s="7">
        <v>287</v>
      </c>
      <c r="V106" s="7">
        <f>7870*9.8/100</f>
        <v>771.26</v>
      </c>
      <c r="W106" s="34">
        <v>205</v>
      </c>
      <c r="X106" s="7" t="s">
        <v>534</v>
      </c>
      <c r="Y106" s="17">
        <v>40</v>
      </c>
      <c r="Z106" s="7">
        <v>2</v>
      </c>
      <c r="AA106" s="7">
        <v>6.35</v>
      </c>
      <c r="AB106" s="7">
        <v>31.7</v>
      </c>
      <c r="AC106">
        <f>4030*9.8/100</f>
        <v>394.94</v>
      </c>
      <c r="AD106" s="96">
        <v>205</v>
      </c>
      <c r="AE106" s="7">
        <v>3</v>
      </c>
      <c r="AF106" s="7">
        <v>40</v>
      </c>
      <c r="AG106" s="7">
        <v>0</v>
      </c>
      <c r="AH106" s="7">
        <v>0</v>
      </c>
      <c r="AI106" s="7">
        <v>2</v>
      </c>
      <c r="AJ106" s="7">
        <v>40</v>
      </c>
      <c r="AK106" s="7">
        <v>0</v>
      </c>
      <c r="AL106" s="7">
        <v>0</v>
      </c>
      <c r="AM106" s="31"/>
      <c r="AN106" s="7">
        <v>300</v>
      </c>
      <c r="AO106" s="7">
        <v>300</v>
      </c>
      <c r="AP106" s="7" t="s">
        <v>538</v>
      </c>
      <c r="AQ106" s="31"/>
      <c r="AR106" s="7">
        <v>15.9</v>
      </c>
      <c r="AS106" s="7">
        <v>199</v>
      </c>
      <c r="AT106" s="17">
        <f>5440*9.8/100</f>
        <v>533.12000000000012</v>
      </c>
      <c r="AU106" s="96">
        <v>205</v>
      </c>
      <c r="AV106" s="7" t="s">
        <v>535</v>
      </c>
      <c r="AW106" s="17">
        <v>50</v>
      </c>
      <c r="AX106" s="7">
        <v>4</v>
      </c>
      <c r="AY106" s="7">
        <v>6.35</v>
      </c>
      <c r="AZ106" s="7">
        <v>31.7</v>
      </c>
      <c r="BA106">
        <f>4030*9.8/100</f>
        <v>394.94</v>
      </c>
      <c r="BB106" s="96">
        <v>205</v>
      </c>
      <c r="BC106" s="37">
        <v>5</v>
      </c>
      <c r="BD106" s="35">
        <v>40</v>
      </c>
      <c r="BE106" s="37">
        <v>2</v>
      </c>
      <c r="BF106" s="35">
        <v>65</v>
      </c>
      <c r="BG106" s="37">
        <v>5</v>
      </c>
      <c r="BH106" s="35">
        <v>40</v>
      </c>
      <c r="BI106" s="37">
        <v>2</v>
      </c>
      <c r="BJ106" s="37">
        <v>65</v>
      </c>
      <c r="BK106" s="31"/>
      <c r="BL106" s="31">
        <v>2</v>
      </c>
      <c r="BM106" s="7" t="s">
        <v>539</v>
      </c>
      <c r="BN106" s="7" t="s">
        <v>692</v>
      </c>
      <c r="BO106" s="31"/>
      <c r="BP106" s="31">
        <v>23.758294442772812</v>
      </c>
      <c r="BQ106" s="7">
        <v>3</v>
      </c>
      <c r="BR106" s="7">
        <v>12</v>
      </c>
      <c r="BS106">
        <f>2550*9.8/100</f>
        <v>249.9</v>
      </c>
      <c r="BT106" s="96">
        <v>205</v>
      </c>
      <c r="BU106" s="87">
        <v>0.42</v>
      </c>
      <c r="BV106" s="17"/>
    </row>
    <row r="107" spans="1:74" ht="37.5">
      <c r="A107">
        <v>102</v>
      </c>
      <c r="B107" s="1">
        <v>3</v>
      </c>
      <c r="C107">
        <v>28</v>
      </c>
      <c r="D107" t="s">
        <v>37</v>
      </c>
      <c r="E107">
        <v>1991</v>
      </c>
      <c r="F107" t="s">
        <v>33</v>
      </c>
      <c r="G107" t="s">
        <v>542</v>
      </c>
      <c r="H107" s="1">
        <v>34</v>
      </c>
      <c r="I107">
        <f>362*9.8/100</f>
        <v>35.476000000000006</v>
      </c>
      <c r="J107">
        <f>336*9.8/100</f>
        <v>32.928000000000004</v>
      </c>
      <c r="K107">
        <f>402*9.8/100</f>
        <v>39.396000000000001</v>
      </c>
      <c r="L107" s="7">
        <v>3500</v>
      </c>
      <c r="M107" s="7">
        <v>2000</v>
      </c>
      <c r="N107" s="7">
        <v>0</v>
      </c>
      <c r="O107">
        <f>80*9.8*50*50/1000</f>
        <v>1960</v>
      </c>
      <c r="P107" s="7">
        <v>300</v>
      </c>
      <c r="Q107" s="7">
        <v>500</v>
      </c>
      <c r="R107" s="7" t="s">
        <v>541</v>
      </c>
      <c r="S107" s="30" t="s">
        <v>540</v>
      </c>
      <c r="T107" s="7">
        <v>25.4</v>
      </c>
      <c r="U107" s="7">
        <v>507</v>
      </c>
      <c r="V107" s="1">
        <f>4370*9.8/100</f>
        <v>428.26</v>
      </c>
      <c r="W107" s="1">
        <f>1819*9.8/100</f>
        <v>178.262</v>
      </c>
      <c r="X107" s="37"/>
      <c r="Y107" s="46"/>
      <c r="Z107" s="46"/>
      <c r="AA107" s="46"/>
      <c r="AB107" s="46"/>
      <c r="AC107" s="46"/>
      <c r="AD107" s="46"/>
      <c r="AE107" s="7">
        <v>4</v>
      </c>
      <c r="AF107" s="7">
        <v>50</v>
      </c>
      <c r="AG107" s="7">
        <v>0</v>
      </c>
      <c r="AH107" s="7">
        <v>0</v>
      </c>
      <c r="AI107" s="7">
        <v>4</v>
      </c>
      <c r="AJ107" s="7">
        <v>50</v>
      </c>
      <c r="AK107" s="7">
        <v>0</v>
      </c>
      <c r="AL107" s="7">
        <v>0</v>
      </c>
      <c r="AN107" s="7">
        <v>500</v>
      </c>
      <c r="AO107" s="7">
        <v>500</v>
      </c>
      <c r="AP107" s="45" t="s">
        <v>695</v>
      </c>
      <c r="AR107" s="43" t="s">
        <v>696</v>
      </c>
      <c r="AS107" s="50">
        <f>(287*4+387*8)/(4+8)</f>
        <v>353.66666666666669</v>
      </c>
      <c r="AT107" s="42">
        <f>(4510*287*4+4350*387*8)/100*9.8/(287*4+387*8)</f>
        <v>430.54143261074461</v>
      </c>
      <c r="AU107" s="42">
        <f>(1984*287*4+1953*387*8)/100*9.8/(287*4+387*8)</f>
        <v>192.21577756833176</v>
      </c>
      <c r="AV107" s="35"/>
      <c r="AW107" s="2"/>
      <c r="AX107" s="2"/>
      <c r="AY107" s="35"/>
      <c r="AZ107" s="35"/>
      <c r="BA107" s="2"/>
      <c r="BB107" s="2"/>
      <c r="BC107" s="36">
        <v>4</v>
      </c>
      <c r="BD107" s="29">
        <v>50</v>
      </c>
      <c r="BE107" s="36">
        <v>2</v>
      </c>
      <c r="BF107" s="29">
        <v>130</v>
      </c>
      <c r="BG107" s="36">
        <v>4</v>
      </c>
      <c r="BH107" s="29">
        <v>50</v>
      </c>
      <c r="BI107" s="36">
        <v>2</v>
      </c>
      <c r="BJ107" s="36">
        <v>130</v>
      </c>
      <c r="BL107" s="30">
        <v>0</v>
      </c>
      <c r="BM107" s="7"/>
      <c r="BN107" s="37"/>
      <c r="BQ107" s="2"/>
      <c r="BR107" s="2"/>
      <c r="BS107" s="22"/>
      <c r="BT107" s="22"/>
      <c r="BU107" s="77">
        <v>0.71</v>
      </c>
    </row>
    <row r="108" spans="1:74" ht="37.5">
      <c r="A108">
        <v>103</v>
      </c>
      <c r="B108" s="1">
        <v>3</v>
      </c>
      <c r="G108" t="s">
        <v>543</v>
      </c>
      <c r="H108" s="1">
        <v>36</v>
      </c>
      <c r="I108">
        <f>362*9.8/100</f>
        <v>35.476000000000006</v>
      </c>
      <c r="J108">
        <f>336*9.8/100</f>
        <v>32.928000000000004</v>
      </c>
      <c r="K108">
        <f>402*9.8/100</f>
        <v>39.396000000000001</v>
      </c>
      <c r="L108" s="7">
        <v>3500</v>
      </c>
      <c r="M108" s="7">
        <v>2000</v>
      </c>
      <c r="N108" s="7">
        <v>0</v>
      </c>
      <c r="O108">
        <f>80*9.8*50*50/1000</f>
        <v>1960</v>
      </c>
      <c r="P108" s="7">
        <v>300</v>
      </c>
      <c r="Q108" s="7">
        <v>500</v>
      </c>
      <c r="R108" s="45" t="s">
        <v>693</v>
      </c>
      <c r="T108" s="45">
        <f>(4*25.4+2*15.9)/6</f>
        <v>22.233333333333334</v>
      </c>
      <c r="U108" s="72">
        <f>(507*4+199*2)/(4+2)</f>
        <v>404.33333333333331</v>
      </c>
      <c r="V108" s="42">
        <f>(4370*507*8+4113*199*4)/100*9.8/(507*8+199*4)</f>
        <v>424.1280840890355</v>
      </c>
      <c r="W108" s="42">
        <f>(1891*507*8+1800*199*4)/100*9.8/(507*8+199*4)</f>
        <v>183.85494806265459</v>
      </c>
      <c r="X108" s="47"/>
      <c r="Y108" s="46"/>
      <c r="Z108" s="46"/>
      <c r="AA108" s="46"/>
      <c r="AB108" s="46"/>
      <c r="AC108" s="46"/>
      <c r="AD108" s="46"/>
      <c r="AE108" s="48">
        <v>4</v>
      </c>
      <c r="AF108" s="48">
        <v>50</v>
      </c>
      <c r="AG108" s="48">
        <v>2</v>
      </c>
      <c r="AH108" s="48">
        <v>70</v>
      </c>
      <c r="AI108" s="48">
        <v>4</v>
      </c>
      <c r="AJ108" s="48">
        <v>50</v>
      </c>
      <c r="AK108" s="48">
        <v>2</v>
      </c>
      <c r="AL108" s="48">
        <v>70</v>
      </c>
      <c r="AN108" s="7">
        <v>500</v>
      </c>
      <c r="AO108" s="7">
        <v>500</v>
      </c>
      <c r="AP108" s="40" t="s">
        <v>695</v>
      </c>
      <c r="AR108" s="43" t="s">
        <v>697</v>
      </c>
      <c r="AS108" s="50">
        <f>(287*4+387*8)/(4+8)</f>
        <v>353.66666666666669</v>
      </c>
      <c r="AT108" s="42">
        <f>(4510*287*4+4350*387*8)/100*9.8/(287*4+387*8)</f>
        <v>430.54143261074461</v>
      </c>
      <c r="AU108" s="42">
        <f>(1984*287*4+1953*387*8)/100*9.8/(287*4+387*8)</f>
        <v>192.21577756833176</v>
      </c>
      <c r="AV108" s="35"/>
      <c r="AW108" s="2"/>
      <c r="AX108" s="2"/>
      <c r="AY108" s="35"/>
      <c r="AZ108" s="35"/>
      <c r="BA108" s="2"/>
      <c r="BB108" s="2"/>
      <c r="BC108" s="36">
        <v>4</v>
      </c>
      <c r="BD108" s="29">
        <v>50</v>
      </c>
      <c r="BE108" s="36">
        <v>2</v>
      </c>
      <c r="BF108" s="29">
        <v>130</v>
      </c>
      <c r="BG108" s="36">
        <v>4</v>
      </c>
      <c r="BH108" s="29">
        <v>50</v>
      </c>
      <c r="BI108" s="36">
        <v>2</v>
      </c>
      <c r="BJ108" s="36">
        <v>130</v>
      </c>
      <c r="BL108" s="30">
        <v>0</v>
      </c>
      <c r="BM108" s="7"/>
      <c r="BN108" s="47"/>
      <c r="BQ108" s="2"/>
      <c r="BR108" s="2"/>
      <c r="BS108" s="22"/>
      <c r="BT108" s="22"/>
      <c r="BU108" s="77">
        <v>0.71</v>
      </c>
    </row>
    <row r="109" spans="1:74">
      <c r="A109">
        <v>104</v>
      </c>
      <c r="B109" s="1">
        <v>1</v>
      </c>
      <c r="C109" s="1">
        <v>29</v>
      </c>
      <c r="D109" t="s">
        <v>53</v>
      </c>
      <c r="E109">
        <v>1991</v>
      </c>
      <c r="F109" t="s">
        <v>33</v>
      </c>
      <c r="G109" t="s">
        <v>550</v>
      </c>
      <c r="H109" s="1" t="s">
        <v>544</v>
      </c>
      <c r="I109">
        <f>423*9.8/100</f>
        <v>41.454000000000008</v>
      </c>
      <c r="J109">
        <f>423*9.8/100</f>
        <v>41.454000000000008</v>
      </c>
      <c r="K109">
        <f>423*9.8/100</f>
        <v>41.454000000000008</v>
      </c>
      <c r="L109" s="7">
        <v>2700</v>
      </c>
      <c r="M109" s="7">
        <v>1470</v>
      </c>
      <c r="N109" s="7">
        <v>0</v>
      </c>
      <c r="O109">
        <f>20*9.8*30*30/1000</f>
        <v>176.4</v>
      </c>
      <c r="P109" s="7">
        <v>200</v>
      </c>
      <c r="Q109" s="7">
        <v>300</v>
      </c>
      <c r="R109" s="7" t="s">
        <v>545</v>
      </c>
      <c r="T109" s="7">
        <v>9.5299999999999994</v>
      </c>
      <c r="U109" s="7">
        <v>71.3</v>
      </c>
      <c r="V109" s="1">
        <f>3810*9.8/100</f>
        <v>373.38</v>
      </c>
      <c r="W109" s="21">
        <v>205</v>
      </c>
      <c r="X109" t="s">
        <v>546</v>
      </c>
      <c r="Y109">
        <v>50</v>
      </c>
      <c r="Z109">
        <v>2</v>
      </c>
      <c r="AA109">
        <v>6.35</v>
      </c>
      <c r="AB109">
        <v>31.7</v>
      </c>
      <c r="AC109">
        <f>4280*9.8/100</f>
        <v>419.44</v>
      </c>
      <c r="AD109" s="16">
        <v>205</v>
      </c>
      <c r="AE109">
        <v>6</v>
      </c>
      <c r="AF109">
        <v>30</v>
      </c>
      <c r="AG109">
        <v>6</v>
      </c>
      <c r="AH109">
        <v>30</v>
      </c>
      <c r="AI109">
        <v>6</v>
      </c>
      <c r="AJ109">
        <v>30</v>
      </c>
      <c r="AK109">
        <v>6</v>
      </c>
      <c r="AL109">
        <v>30</v>
      </c>
      <c r="AN109" s="7">
        <v>300</v>
      </c>
      <c r="AO109" s="7">
        <v>300</v>
      </c>
      <c r="AP109" t="s">
        <v>547</v>
      </c>
      <c r="AR109">
        <v>15.9</v>
      </c>
      <c r="AS109">
        <v>199</v>
      </c>
      <c r="AT109">
        <f>3760*9.8/100</f>
        <v>368.48</v>
      </c>
      <c r="AU109" s="16">
        <v>205</v>
      </c>
      <c r="AV109" t="s">
        <v>548</v>
      </c>
      <c r="AW109">
        <v>50</v>
      </c>
      <c r="AX109">
        <v>4</v>
      </c>
      <c r="AY109">
        <v>6.35</v>
      </c>
      <c r="AZ109">
        <v>31.7</v>
      </c>
      <c r="BA109">
        <f>4280*9.8/100</f>
        <v>419.44</v>
      </c>
      <c r="BB109" s="16">
        <v>205</v>
      </c>
      <c r="BC109">
        <v>4</v>
      </c>
      <c r="BD109">
        <v>40</v>
      </c>
      <c r="BE109">
        <v>2</v>
      </c>
      <c r="BF109">
        <v>52</v>
      </c>
      <c r="BG109">
        <v>4</v>
      </c>
      <c r="BH109">
        <v>40</v>
      </c>
      <c r="BI109">
        <v>2</v>
      </c>
      <c r="BJ109">
        <v>52</v>
      </c>
      <c r="BL109" s="30">
        <v>0</v>
      </c>
      <c r="BM109" t="s">
        <v>549</v>
      </c>
      <c r="BN109" s="7" t="s">
        <v>694</v>
      </c>
      <c r="BP109" s="30">
        <v>31.7</v>
      </c>
      <c r="BQ109">
        <v>2</v>
      </c>
      <c r="BR109">
        <v>4</v>
      </c>
      <c r="BS109">
        <f>2880*9.8/100</f>
        <v>282.24</v>
      </c>
      <c r="BT109" s="16">
        <v>205</v>
      </c>
      <c r="BU109" s="76">
        <v>0.36</v>
      </c>
    </row>
    <row r="110" spans="1:74">
      <c r="A110">
        <v>105</v>
      </c>
      <c r="B110" s="1">
        <v>1</v>
      </c>
      <c r="C110">
        <v>30</v>
      </c>
      <c r="D110" t="s">
        <v>54</v>
      </c>
      <c r="E110">
        <v>1991</v>
      </c>
      <c r="F110" t="s">
        <v>33</v>
      </c>
      <c r="G110" t="s">
        <v>550</v>
      </c>
      <c r="H110" s="1" t="s">
        <v>552</v>
      </c>
      <c r="I110">
        <f t="shared" ref="I110:K111" si="65">400*9.8/100</f>
        <v>39.200000000000003</v>
      </c>
      <c r="J110">
        <f t="shared" si="65"/>
        <v>39.200000000000003</v>
      </c>
      <c r="K110">
        <f t="shared" si="65"/>
        <v>39.200000000000003</v>
      </c>
      <c r="L110" s="7">
        <v>2700</v>
      </c>
      <c r="M110" s="7">
        <v>1500</v>
      </c>
      <c r="N110" s="7">
        <v>0</v>
      </c>
      <c r="O110" s="2">
        <f>0.24*AN110*AO110*J110/1000</f>
        <v>1764.0000000000002</v>
      </c>
      <c r="P110" s="7">
        <v>375</v>
      </c>
      <c r="Q110" s="7">
        <v>450</v>
      </c>
      <c r="R110" s="7" t="s">
        <v>554</v>
      </c>
      <c r="T110" s="7">
        <v>19.100000000000001</v>
      </c>
      <c r="U110" s="7">
        <v>287</v>
      </c>
      <c r="V110" s="1">
        <f>3960*9.8/100</f>
        <v>388.08</v>
      </c>
      <c r="W110" s="21">
        <v>205</v>
      </c>
      <c r="X110" t="s">
        <v>556</v>
      </c>
      <c r="Y110">
        <v>50</v>
      </c>
      <c r="Z110">
        <v>4</v>
      </c>
      <c r="AA110">
        <v>5</v>
      </c>
      <c r="AB110">
        <v>19.600000000000001</v>
      </c>
      <c r="AC110">
        <f>8260*9.8/100</f>
        <v>809.48</v>
      </c>
      <c r="AD110" s="16">
        <v>205</v>
      </c>
      <c r="AE110">
        <v>5</v>
      </c>
      <c r="AF110" s="16">
        <v>40</v>
      </c>
      <c r="AG110">
        <v>5</v>
      </c>
      <c r="AH110" s="16">
        <f>2.5*19</f>
        <v>47.5</v>
      </c>
      <c r="AI110">
        <v>5</v>
      </c>
      <c r="AJ110" s="16">
        <v>40</v>
      </c>
      <c r="AK110">
        <v>5</v>
      </c>
      <c r="AL110" s="16">
        <f>2.5*19</f>
        <v>47.5</v>
      </c>
      <c r="AN110" s="7">
        <v>375</v>
      </c>
      <c r="AO110" s="7">
        <v>500</v>
      </c>
      <c r="AP110" t="s">
        <v>554</v>
      </c>
      <c r="AR110">
        <v>19.100000000000001</v>
      </c>
      <c r="AS110">
        <v>287</v>
      </c>
      <c r="AT110">
        <f>3720*9.8/100</f>
        <v>364.56</v>
      </c>
      <c r="AU110" s="16">
        <v>205</v>
      </c>
      <c r="AV110" t="s">
        <v>556</v>
      </c>
      <c r="AW110">
        <v>50</v>
      </c>
      <c r="AX110" s="2"/>
      <c r="AY110">
        <v>5</v>
      </c>
      <c r="AZ110">
        <v>19.600000000000001</v>
      </c>
      <c r="BA110">
        <f>8260*9.8/100</f>
        <v>809.48</v>
      </c>
      <c r="BB110" s="16">
        <v>205</v>
      </c>
      <c r="BC110">
        <v>4</v>
      </c>
      <c r="BD110">
        <v>50</v>
      </c>
      <c r="BE110">
        <v>2</v>
      </c>
      <c r="BF110">
        <f>2.5*19</f>
        <v>47.5</v>
      </c>
      <c r="BG110">
        <v>4</v>
      </c>
      <c r="BH110">
        <v>50</v>
      </c>
      <c r="BI110">
        <v>2</v>
      </c>
      <c r="BJ110">
        <f>2.5*19</f>
        <v>47.5</v>
      </c>
      <c r="BL110" s="30">
        <v>2</v>
      </c>
      <c r="BM110" t="s">
        <v>557</v>
      </c>
      <c r="BN110" s="7" t="s">
        <v>692</v>
      </c>
      <c r="BP110" s="30">
        <v>23.758294442772812</v>
      </c>
      <c r="BQ110" s="16">
        <v>10</v>
      </c>
      <c r="BR110" s="16">
        <v>20</v>
      </c>
      <c r="BS110">
        <f>3710*9.8/100</f>
        <v>363.58</v>
      </c>
      <c r="BT110" s="16">
        <v>205</v>
      </c>
      <c r="BU110" s="76">
        <v>0.4</v>
      </c>
    </row>
    <row r="111" spans="1:74">
      <c r="A111">
        <v>106</v>
      </c>
      <c r="B111" s="1">
        <v>1</v>
      </c>
      <c r="G111" t="s">
        <v>551</v>
      </c>
      <c r="H111" s="1" t="s">
        <v>553</v>
      </c>
      <c r="I111">
        <f t="shared" si="65"/>
        <v>39.200000000000003</v>
      </c>
      <c r="J111">
        <f t="shared" si="65"/>
        <v>39.200000000000003</v>
      </c>
      <c r="K111">
        <f t="shared" si="65"/>
        <v>39.200000000000003</v>
      </c>
      <c r="L111" s="7">
        <v>2700</v>
      </c>
      <c r="M111" s="7">
        <v>1500</v>
      </c>
      <c r="N111" s="7">
        <v>0</v>
      </c>
      <c r="O111" s="2">
        <f>0.24*AN111*AO111*J111/1000</f>
        <v>1764.0000000000002</v>
      </c>
      <c r="P111" s="7">
        <v>375</v>
      </c>
      <c r="Q111" s="7">
        <v>450</v>
      </c>
      <c r="R111" s="7" t="s">
        <v>555</v>
      </c>
      <c r="T111" s="7">
        <v>19.100000000000001</v>
      </c>
      <c r="U111" s="7">
        <v>287</v>
      </c>
      <c r="V111" s="1">
        <f>3960*9.8/100</f>
        <v>388.08</v>
      </c>
      <c r="W111" s="21">
        <v>205</v>
      </c>
      <c r="X111" t="s">
        <v>556</v>
      </c>
      <c r="Y111">
        <v>50</v>
      </c>
      <c r="Z111">
        <v>4</v>
      </c>
      <c r="AA111">
        <v>5</v>
      </c>
      <c r="AB111">
        <v>19.600000000000001</v>
      </c>
      <c r="AC111">
        <f>8260*9.8/100</f>
        <v>809.48</v>
      </c>
      <c r="AD111" s="16">
        <v>205</v>
      </c>
      <c r="AE111">
        <v>5</v>
      </c>
      <c r="AF111" s="16">
        <v>40</v>
      </c>
      <c r="AG111">
        <v>5</v>
      </c>
      <c r="AH111" s="16">
        <f>2.5*19</f>
        <v>47.5</v>
      </c>
      <c r="AI111">
        <v>5</v>
      </c>
      <c r="AJ111" s="16">
        <v>40</v>
      </c>
      <c r="AK111">
        <v>5</v>
      </c>
      <c r="AL111" s="16">
        <f>2.5*19</f>
        <v>47.5</v>
      </c>
      <c r="AN111" s="7">
        <v>375</v>
      </c>
      <c r="AO111" s="7">
        <v>500</v>
      </c>
      <c r="AP111" t="s">
        <v>554</v>
      </c>
      <c r="AR111">
        <v>19.100000000000001</v>
      </c>
      <c r="AS111">
        <v>287</v>
      </c>
      <c r="AT111">
        <f>3720*9.8/100</f>
        <v>364.56</v>
      </c>
      <c r="AU111" s="16">
        <v>205</v>
      </c>
      <c r="AV111" t="s">
        <v>556</v>
      </c>
      <c r="AW111">
        <v>50</v>
      </c>
      <c r="AX111" s="2"/>
      <c r="AY111">
        <v>5</v>
      </c>
      <c r="AZ111">
        <v>19.600000000000001</v>
      </c>
      <c r="BA111">
        <f>8260*9.8/100</f>
        <v>809.48</v>
      </c>
      <c r="BB111" s="16">
        <v>205</v>
      </c>
      <c r="BC111">
        <v>4</v>
      </c>
      <c r="BD111">
        <v>50</v>
      </c>
      <c r="BE111">
        <v>2</v>
      </c>
      <c r="BF111">
        <f>2.5*19</f>
        <v>47.5</v>
      </c>
      <c r="BG111">
        <v>4</v>
      </c>
      <c r="BH111">
        <v>50</v>
      </c>
      <c r="BI111">
        <v>2</v>
      </c>
      <c r="BJ111">
        <f>2.5*19</f>
        <v>47.5</v>
      </c>
      <c r="BL111" s="30">
        <v>2</v>
      </c>
      <c r="BM111" t="s">
        <v>549</v>
      </c>
      <c r="BN111" s="7" t="s">
        <v>467</v>
      </c>
      <c r="BP111" s="30">
        <v>19.600000000000001</v>
      </c>
      <c r="BQ111" s="16">
        <v>10</v>
      </c>
      <c r="BR111" s="16">
        <v>40</v>
      </c>
      <c r="BS111">
        <f>8260*9.8/100</f>
        <v>809.48</v>
      </c>
      <c r="BT111" s="16">
        <v>205</v>
      </c>
      <c r="BU111" s="76">
        <v>0.65</v>
      </c>
    </row>
    <row r="112" spans="1:74" s="5" customFormat="1">
      <c r="A112">
        <v>107</v>
      </c>
      <c r="B112" s="1">
        <v>2</v>
      </c>
      <c r="C112" s="5">
        <v>31</v>
      </c>
      <c r="D112" s="5" t="s">
        <v>55</v>
      </c>
      <c r="E112" s="5">
        <v>1991</v>
      </c>
      <c r="F112" s="5" t="s">
        <v>27</v>
      </c>
      <c r="G112" s="5" t="s">
        <v>158</v>
      </c>
      <c r="H112" s="55" t="s">
        <v>184</v>
      </c>
      <c r="I112" s="5">
        <f>468*9.8/100</f>
        <v>45.864000000000004</v>
      </c>
      <c r="J112" s="5">
        <f>468*9.8/100</f>
        <v>45.864000000000004</v>
      </c>
      <c r="K112" s="5">
        <f>468*9.8/100</f>
        <v>45.864000000000004</v>
      </c>
      <c r="L112" s="5">
        <v>2080</v>
      </c>
      <c r="M112" s="5">
        <v>1200</v>
      </c>
      <c r="N112" s="5">
        <v>0</v>
      </c>
      <c r="O112" s="5">
        <f>0.3*320*355*468*9.8/100/1000</f>
        <v>1563.0451200000002</v>
      </c>
      <c r="P112" s="5">
        <v>250</v>
      </c>
      <c r="Q112" s="5">
        <v>335</v>
      </c>
      <c r="R112" s="5" t="s">
        <v>39</v>
      </c>
      <c r="S112" s="8"/>
      <c r="T112" s="5">
        <v>15.9</v>
      </c>
      <c r="U112" s="5">
        <v>199</v>
      </c>
      <c r="V112" s="6">
        <f t="shared" ref="V112:V123" si="66">4370*9.8/100</f>
        <v>428.26</v>
      </c>
      <c r="W112" s="6">
        <f t="shared" ref="W112:W123" si="67">1990*9.8/100</f>
        <v>195.02</v>
      </c>
      <c r="X112" s="5" t="s">
        <v>56</v>
      </c>
      <c r="Y112" s="5">
        <v>80</v>
      </c>
      <c r="Z112" s="5">
        <v>4</v>
      </c>
      <c r="AA112" s="5">
        <v>5.0999999999999996</v>
      </c>
      <c r="AB112" s="5">
        <v>20</v>
      </c>
      <c r="AC112" s="5">
        <f t="shared" ref="AC112:AC123" si="68">14100*9.8/100</f>
        <v>1381.8</v>
      </c>
      <c r="AD112" s="5">
        <f t="shared" ref="AD112:AD123" si="69">2020*9.8/100</f>
        <v>197.96</v>
      </c>
      <c r="AE112" s="5">
        <v>4</v>
      </c>
      <c r="AF112" s="5">
        <v>37</v>
      </c>
      <c r="AG112" s="5">
        <v>2</v>
      </c>
      <c r="AH112" s="5">
        <v>40</v>
      </c>
      <c r="AI112" s="5">
        <v>4</v>
      </c>
      <c r="AJ112" s="5">
        <v>37</v>
      </c>
      <c r="AK112" s="5">
        <v>2</v>
      </c>
      <c r="AL112" s="5">
        <v>40</v>
      </c>
      <c r="AM112" s="8"/>
      <c r="AN112" s="5">
        <v>355</v>
      </c>
      <c r="AO112" s="5">
        <v>320</v>
      </c>
      <c r="AP112" s="5" t="s">
        <v>39</v>
      </c>
      <c r="AQ112" s="8"/>
      <c r="AR112" s="5">
        <v>15.9</v>
      </c>
      <c r="AS112" s="5">
        <v>199</v>
      </c>
      <c r="AT112" s="5">
        <f t="shared" ref="AT112:AT117" si="70">4200*9.8/100</f>
        <v>411.6</v>
      </c>
      <c r="AU112" s="5">
        <f t="shared" ref="AU112:AU117" si="71">1766*9.8/100</f>
        <v>173.06800000000004</v>
      </c>
      <c r="AV112" s="5" t="s">
        <v>56</v>
      </c>
      <c r="AW112" s="5">
        <v>55</v>
      </c>
      <c r="AX112" s="5">
        <v>4</v>
      </c>
      <c r="AY112" s="5">
        <v>5.0999999999999996</v>
      </c>
      <c r="AZ112" s="5">
        <v>20</v>
      </c>
      <c r="BA112" s="5">
        <f t="shared" ref="BA112:BA123" si="72">14100*9.8/100</f>
        <v>1381.8</v>
      </c>
      <c r="BB112" s="5">
        <f t="shared" ref="BB112:BB123" si="73">2020*9.8/100</f>
        <v>197.96</v>
      </c>
      <c r="BC112" s="5">
        <v>4</v>
      </c>
      <c r="BD112" s="5">
        <v>38</v>
      </c>
      <c r="BE112" s="5">
        <v>2</v>
      </c>
      <c r="BF112" s="5">
        <v>86</v>
      </c>
      <c r="BG112" s="5">
        <v>4</v>
      </c>
      <c r="BH112" s="5">
        <v>38</v>
      </c>
      <c r="BI112" s="5">
        <v>2</v>
      </c>
      <c r="BJ112" s="5">
        <v>86</v>
      </c>
      <c r="BK112" s="8"/>
      <c r="BL112" s="8">
        <v>0</v>
      </c>
      <c r="BM112" s="5" t="s">
        <v>166</v>
      </c>
      <c r="BN112" s="5" t="s">
        <v>773</v>
      </c>
      <c r="BO112" s="8"/>
      <c r="BP112" s="8"/>
      <c r="BQ112" s="5">
        <v>7</v>
      </c>
      <c r="BR112" s="5">
        <v>14</v>
      </c>
      <c r="BS112" s="5">
        <v>1382</v>
      </c>
      <c r="BT112" s="5">
        <v>197.96</v>
      </c>
      <c r="BU112" s="83">
        <v>0.31</v>
      </c>
    </row>
    <row r="113" spans="1:73">
      <c r="A113">
        <v>108</v>
      </c>
      <c r="B113" s="1">
        <v>2</v>
      </c>
      <c r="G113" t="s">
        <v>160</v>
      </c>
      <c r="H113" s="52" t="s">
        <v>185</v>
      </c>
      <c r="I113">
        <f>466*9.8/100</f>
        <v>45.667999999999999</v>
      </c>
      <c r="J113">
        <f>466*9.8/100</f>
        <v>45.667999999999999</v>
      </c>
      <c r="K113">
        <f>466*9.8/100</f>
        <v>45.667999999999999</v>
      </c>
      <c r="L113">
        <v>2080</v>
      </c>
      <c r="M113">
        <v>1200</v>
      </c>
      <c r="N113">
        <v>0</v>
      </c>
      <c r="O113">
        <f>0.3*285*355*466*9.8/100/1000</f>
        <v>1386.13797</v>
      </c>
      <c r="P113">
        <v>250</v>
      </c>
      <c r="Q113">
        <v>335</v>
      </c>
      <c r="R113" t="s">
        <v>39</v>
      </c>
      <c r="T113">
        <v>15.9</v>
      </c>
      <c r="U113">
        <v>199</v>
      </c>
      <c r="V113" s="1">
        <f t="shared" si="66"/>
        <v>428.26</v>
      </c>
      <c r="W113" s="1">
        <f t="shared" si="67"/>
        <v>195.02</v>
      </c>
      <c r="X113" t="s">
        <v>56</v>
      </c>
      <c r="Y113">
        <v>80</v>
      </c>
      <c r="Z113">
        <v>4</v>
      </c>
      <c r="AA113">
        <v>5.0999999999999996</v>
      </c>
      <c r="AB113">
        <v>20</v>
      </c>
      <c r="AC113">
        <f t="shared" si="68"/>
        <v>1381.8</v>
      </c>
      <c r="AD113">
        <f t="shared" si="69"/>
        <v>197.96</v>
      </c>
      <c r="AE113">
        <v>4</v>
      </c>
      <c r="AF113">
        <v>37</v>
      </c>
      <c r="AG113">
        <v>2</v>
      </c>
      <c r="AH113">
        <v>40</v>
      </c>
      <c r="AI113">
        <v>4</v>
      </c>
      <c r="AJ113">
        <v>37</v>
      </c>
      <c r="AK113">
        <v>2</v>
      </c>
      <c r="AL113">
        <v>40</v>
      </c>
      <c r="AN113">
        <v>355</v>
      </c>
      <c r="AO113">
        <v>285</v>
      </c>
      <c r="AP113" t="s">
        <v>39</v>
      </c>
      <c r="AR113">
        <v>15.9</v>
      </c>
      <c r="AS113">
        <v>199</v>
      </c>
      <c r="AT113">
        <f t="shared" si="70"/>
        <v>411.6</v>
      </c>
      <c r="AU113">
        <f t="shared" si="71"/>
        <v>173.06800000000004</v>
      </c>
      <c r="AV113" t="s">
        <v>56</v>
      </c>
      <c r="AW113">
        <v>55</v>
      </c>
      <c r="AX113">
        <v>4</v>
      </c>
      <c r="AY113">
        <v>5.0999999999999996</v>
      </c>
      <c r="AZ113">
        <v>20</v>
      </c>
      <c r="BA113">
        <f t="shared" si="72"/>
        <v>1381.8</v>
      </c>
      <c r="BB113">
        <f t="shared" si="73"/>
        <v>197.96</v>
      </c>
      <c r="BC113">
        <v>4</v>
      </c>
      <c r="BD113">
        <v>38</v>
      </c>
      <c r="BE113">
        <v>2</v>
      </c>
      <c r="BF113">
        <v>86</v>
      </c>
      <c r="BG113">
        <v>4</v>
      </c>
      <c r="BH113">
        <v>38</v>
      </c>
      <c r="BI113">
        <v>2</v>
      </c>
      <c r="BJ113">
        <v>86</v>
      </c>
      <c r="BL113" s="30">
        <v>0</v>
      </c>
      <c r="BM113" t="s">
        <v>166</v>
      </c>
      <c r="BN113" s="7" t="s">
        <v>773</v>
      </c>
      <c r="BQ113">
        <v>7</v>
      </c>
      <c r="BR113">
        <v>14</v>
      </c>
      <c r="BS113">
        <v>1382</v>
      </c>
      <c r="BT113">
        <v>197.96</v>
      </c>
      <c r="BU113" s="86">
        <v>0.31</v>
      </c>
    </row>
    <row r="114" spans="1:73">
      <c r="A114">
        <v>109</v>
      </c>
      <c r="B114" s="1">
        <v>2</v>
      </c>
      <c r="G114" t="s">
        <v>160</v>
      </c>
      <c r="H114" s="52" t="s">
        <v>186</v>
      </c>
      <c r="I114">
        <f>450*9.8/100</f>
        <v>44.1</v>
      </c>
      <c r="J114">
        <f>450*9.8/100</f>
        <v>44.1</v>
      </c>
      <c r="K114">
        <f>450*9.8/100</f>
        <v>44.1</v>
      </c>
      <c r="L114">
        <v>2080</v>
      </c>
      <c r="M114">
        <v>1200</v>
      </c>
      <c r="N114">
        <v>0</v>
      </c>
      <c r="O114">
        <f>0.3*250*355*450*9.8/100/1000</f>
        <v>1174.1625000000001</v>
      </c>
      <c r="P114">
        <v>250</v>
      </c>
      <c r="Q114">
        <v>335</v>
      </c>
      <c r="R114" t="s">
        <v>39</v>
      </c>
      <c r="T114">
        <v>15.9</v>
      </c>
      <c r="U114">
        <v>199</v>
      </c>
      <c r="V114" s="1">
        <f t="shared" si="66"/>
        <v>428.26</v>
      </c>
      <c r="W114" s="1">
        <f t="shared" si="67"/>
        <v>195.02</v>
      </c>
      <c r="X114" t="s">
        <v>56</v>
      </c>
      <c r="Y114">
        <v>80</v>
      </c>
      <c r="Z114">
        <v>4</v>
      </c>
      <c r="AA114">
        <v>5.0999999999999996</v>
      </c>
      <c r="AB114">
        <v>20</v>
      </c>
      <c r="AC114">
        <f t="shared" si="68"/>
        <v>1381.8</v>
      </c>
      <c r="AD114">
        <f t="shared" si="69"/>
        <v>197.96</v>
      </c>
      <c r="AE114">
        <v>4</v>
      </c>
      <c r="AF114">
        <v>37</v>
      </c>
      <c r="AG114">
        <v>2</v>
      </c>
      <c r="AH114">
        <v>40</v>
      </c>
      <c r="AI114">
        <v>4</v>
      </c>
      <c r="AJ114">
        <v>37</v>
      </c>
      <c r="AK114">
        <v>2</v>
      </c>
      <c r="AL114">
        <v>40</v>
      </c>
      <c r="AN114">
        <v>355</v>
      </c>
      <c r="AO114">
        <v>250</v>
      </c>
      <c r="AP114" t="s">
        <v>39</v>
      </c>
      <c r="AR114">
        <v>15.9</v>
      </c>
      <c r="AS114">
        <v>199</v>
      </c>
      <c r="AT114">
        <f t="shared" si="70"/>
        <v>411.6</v>
      </c>
      <c r="AU114">
        <f t="shared" si="71"/>
        <v>173.06800000000004</v>
      </c>
      <c r="AV114" t="s">
        <v>56</v>
      </c>
      <c r="AW114">
        <v>55</v>
      </c>
      <c r="AX114">
        <v>4</v>
      </c>
      <c r="AY114">
        <v>5.0999999999999996</v>
      </c>
      <c r="AZ114">
        <v>20</v>
      </c>
      <c r="BA114">
        <f t="shared" si="72"/>
        <v>1381.8</v>
      </c>
      <c r="BB114">
        <f t="shared" si="73"/>
        <v>197.96</v>
      </c>
      <c r="BC114">
        <v>4</v>
      </c>
      <c r="BD114">
        <v>38</v>
      </c>
      <c r="BE114">
        <v>2</v>
      </c>
      <c r="BF114">
        <v>86</v>
      </c>
      <c r="BG114">
        <v>4</v>
      </c>
      <c r="BH114">
        <v>38</v>
      </c>
      <c r="BI114">
        <v>2</v>
      </c>
      <c r="BJ114">
        <v>86</v>
      </c>
      <c r="BL114" s="30">
        <v>0</v>
      </c>
      <c r="BM114" t="s">
        <v>166</v>
      </c>
      <c r="BN114" s="7" t="s">
        <v>773</v>
      </c>
      <c r="BQ114">
        <v>7</v>
      </c>
      <c r="BR114">
        <v>14</v>
      </c>
      <c r="BS114">
        <v>1382</v>
      </c>
      <c r="BT114">
        <v>197.96</v>
      </c>
      <c r="BU114" s="87">
        <v>0.31</v>
      </c>
    </row>
    <row r="115" spans="1:73">
      <c r="A115">
        <v>110</v>
      </c>
      <c r="B115" s="1">
        <v>1</v>
      </c>
      <c r="G115" t="s">
        <v>158</v>
      </c>
      <c r="H115" s="1" t="s">
        <v>187</v>
      </c>
      <c r="I115">
        <f>615*9.8/100</f>
        <v>60.27</v>
      </c>
      <c r="J115">
        <f>615*9.8/100</f>
        <v>60.27</v>
      </c>
      <c r="K115">
        <f>615*9.8/100</f>
        <v>60.27</v>
      </c>
      <c r="L115">
        <v>2080</v>
      </c>
      <c r="M115">
        <v>1200</v>
      </c>
      <c r="N115">
        <v>0</v>
      </c>
      <c r="O115">
        <f>0.3*320*355*615*9.8/100/1000</f>
        <v>2054.0016000000001</v>
      </c>
      <c r="P115">
        <v>250</v>
      </c>
      <c r="Q115">
        <v>335</v>
      </c>
      <c r="R115" t="s">
        <v>39</v>
      </c>
      <c r="T115">
        <v>15.9</v>
      </c>
      <c r="U115">
        <v>199</v>
      </c>
      <c r="V115" s="1">
        <f t="shared" si="66"/>
        <v>428.26</v>
      </c>
      <c r="W115" s="1">
        <f t="shared" si="67"/>
        <v>195.02</v>
      </c>
      <c r="X115" t="s">
        <v>56</v>
      </c>
      <c r="Y115">
        <v>80</v>
      </c>
      <c r="Z115">
        <v>4</v>
      </c>
      <c r="AA115">
        <v>5.0999999999999996</v>
      </c>
      <c r="AB115">
        <v>20</v>
      </c>
      <c r="AC115">
        <f t="shared" si="68"/>
        <v>1381.8</v>
      </c>
      <c r="AD115">
        <f t="shared" si="69"/>
        <v>197.96</v>
      </c>
      <c r="AE115">
        <v>4</v>
      </c>
      <c r="AF115">
        <v>37</v>
      </c>
      <c r="AG115">
        <v>2</v>
      </c>
      <c r="AH115">
        <v>40</v>
      </c>
      <c r="AI115">
        <v>4</v>
      </c>
      <c r="AJ115">
        <v>37</v>
      </c>
      <c r="AK115">
        <v>2</v>
      </c>
      <c r="AL115">
        <v>40</v>
      </c>
      <c r="AN115">
        <v>355</v>
      </c>
      <c r="AO115">
        <v>320</v>
      </c>
      <c r="AP115" t="s">
        <v>39</v>
      </c>
      <c r="AR115">
        <v>15.9</v>
      </c>
      <c r="AS115">
        <v>199</v>
      </c>
      <c r="AT115">
        <f t="shared" si="70"/>
        <v>411.6</v>
      </c>
      <c r="AU115">
        <f t="shared" si="71"/>
        <v>173.06800000000004</v>
      </c>
      <c r="AV115" t="s">
        <v>56</v>
      </c>
      <c r="AW115">
        <v>55</v>
      </c>
      <c r="AX115">
        <v>4</v>
      </c>
      <c r="AY115">
        <v>5.0999999999999996</v>
      </c>
      <c r="AZ115">
        <v>20</v>
      </c>
      <c r="BA115">
        <f t="shared" si="72"/>
        <v>1381.8</v>
      </c>
      <c r="BB115">
        <f t="shared" si="73"/>
        <v>197.96</v>
      </c>
      <c r="BC115">
        <v>4</v>
      </c>
      <c r="BD115">
        <v>38</v>
      </c>
      <c r="BE115">
        <v>2</v>
      </c>
      <c r="BF115">
        <v>86</v>
      </c>
      <c r="BG115">
        <v>4</v>
      </c>
      <c r="BH115">
        <v>38</v>
      </c>
      <c r="BI115">
        <v>2</v>
      </c>
      <c r="BJ115">
        <v>86</v>
      </c>
      <c r="BL115" s="30">
        <v>0</v>
      </c>
      <c r="BM115" t="s">
        <v>166</v>
      </c>
      <c r="BN115" s="7" t="s">
        <v>772</v>
      </c>
      <c r="BP115" s="30">
        <v>20</v>
      </c>
      <c r="BQ115">
        <v>7</v>
      </c>
      <c r="BR115">
        <v>14</v>
      </c>
      <c r="BS115">
        <v>1382</v>
      </c>
      <c r="BT115">
        <v>197.96</v>
      </c>
      <c r="BU115" s="86">
        <v>0.31</v>
      </c>
    </row>
    <row r="116" spans="1:73">
      <c r="A116">
        <v>111</v>
      </c>
      <c r="B116" s="1">
        <v>2</v>
      </c>
      <c r="G116" t="s">
        <v>158</v>
      </c>
      <c r="H116" s="52" t="s">
        <v>188</v>
      </c>
      <c r="I116">
        <f>596*9.8/100</f>
        <v>58.408000000000001</v>
      </c>
      <c r="J116">
        <f>596*9.8/100</f>
        <v>58.408000000000001</v>
      </c>
      <c r="K116">
        <f>596*9.8/100</f>
        <v>58.408000000000001</v>
      </c>
      <c r="L116">
        <v>2080</v>
      </c>
      <c r="M116">
        <v>1200</v>
      </c>
      <c r="N116">
        <v>0</v>
      </c>
      <c r="O116">
        <f>0.3*285*355*596*9.8/100/1000</f>
        <v>1772.8288200000002</v>
      </c>
      <c r="P116">
        <v>250</v>
      </c>
      <c r="Q116">
        <v>335</v>
      </c>
      <c r="R116" t="s">
        <v>39</v>
      </c>
      <c r="T116">
        <v>15.9</v>
      </c>
      <c r="U116">
        <v>199</v>
      </c>
      <c r="V116" s="1">
        <f t="shared" si="66"/>
        <v>428.26</v>
      </c>
      <c r="W116" s="1">
        <f t="shared" si="67"/>
        <v>195.02</v>
      </c>
      <c r="X116" t="s">
        <v>56</v>
      </c>
      <c r="Y116">
        <v>80</v>
      </c>
      <c r="Z116">
        <v>4</v>
      </c>
      <c r="AA116">
        <v>5.0999999999999996</v>
      </c>
      <c r="AB116">
        <v>20</v>
      </c>
      <c r="AC116">
        <f t="shared" si="68"/>
        <v>1381.8</v>
      </c>
      <c r="AD116">
        <f t="shared" si="69"/>
        <v>197.96</v>
      </c>
      <c r="AE116">
        <v>4</v>
      </c>
      <c r="AF116">
        <v>37</v>
      </c>
      <c r="AG116">
        <v>2</v>
      </c>
      <c r="AH116">
        <v>40</v>
      </c>
      <c r="AI116">
        <v>4</v>
      </c>
      <c r="AJ116">
        <v>37</v>
      </c>
      <c r="AK116">
        <v>2</v>
      </c>
      <c r="AL116">
        <v>40</v>
      </c>
      <c r="AN116">
        <v>355</v>
      </c>
      <c r="AO116">
        <v>285</v>
      </c>
      <c r="AP116" t="s">
        <v>39</v>
      </c>
      <c r="AR116">
        <v>15.9</v>
      </c>
      <c r="AS116">
        <v>199</v>
      </c>
      <c r="AT116">
        <f t="shared" si="70"/>
        <v>411.6</v>
      </c>
      <c r="AU116">
        <f t="shared" si="71"/>
        <v>173.06800000000004</v>
      </c>
      <c r="AV116" t="s">
        <v>56</v>
      </c>
      <c r="AW116">
        <v>55</v>
      </c>
      <c r="AX116">
        <v>4</v>
      </c>
      <c r="AY116">
        <v>5.0999999999999996</v>
      </c>
      <c r="AZ116">
        <v>20</v>
      </c>
      <c r="BA116">
        <f t="shared" si="72"/>
        <v>1381.8</v>
      </c>
      <c r="BB116">
        <f t="shared" si="73"/>
        <v>197.96</v>
      </c>
      <c r="BC116">
        <v>4</v>
      </c>
      <c r="BD116">
        <v>38</v>
      </c>
      <c r="BE116">
        <v>2</v>
      </c>
      <c r="BF116">
        <v>86</v>
      </c>
      <c r="BG116">
        <v>4</v>
      </c>
      <c r="BH116">
        <v>38</v>
      </c>
      <c r="BI116">
        <v>2</v>
      </c>
      <c r="BJ116">
        <v>86</v>
      </c>
      <c r="BL116" s="30">
        <v>0</v>
      </c>
      <c r="BM116" t="s">
        <v>166</v>
      </c>
      <c r="BN116" s="7" t="s">
        <v>772</v>
      </c>
      <c r="BQ116">
        <v>7</v>
      </c>
      <c r="BR116">
        <v>14</v>
      </c>
      <c r="BS116">
        <v>1382</v>
      </c>
      <c r="BT116">
        <v>197.96</v>
      </c>
      <c r="BU116" s="87">
        <v>0.31</v>
      </c>
    </row>
    <row r="117" spans="1:73">
      <c r="A117">
        <v>112</v>
      </c>
      <c r="B117" s="1">
        <v>1</v>
      </c>
      <c r="G117" t="s">
        <v>160</v>
      </c>
      <c r="H117" s="1" t="s">
        <v>189</v>
      </c>
      <c r="I117">
        <f>601*9.8/100</f>
        <v>58.898000000000003</v>
      </c>
      <c r="J117">
        <f>601*9.8/100</f>
        <v>58.898000000000003</v>
      </c>
      <c r="K117">
        <f>601*9.8/100</f>
        <v>58.898000000000003</v>
      </c>
      <c r="L117">
        <v>2080</v>
      </c>
      <c r="M117">
        <v>1200</v>
      </c>
      <c r="N117">
        <v>0</v>
      </c>
      <c r="O117">
        <f>0.3*250*355*601*9.8/100/1000</f>
        <v>1568.1592499999999</v>
      </c>
      <c r="P117">
        <v>250</v>
      </c>
      <c r="Q117">
        <v>335</v>
      </c>
      <c r="R117" t="s">
        <v>39</v>
      </c>
      <c r="T117">
        <v>15.9</v>
      </c>
      <c r="U117">
        <v>199</v>
      </c>
      <c r="V117" s="1">
        <f t="shared" si="66"/>
        <v>428.26</v>
      </c>
      <c r="W117" s="1">
        <f t="shared" si="67"/>
        <v>195.02</v>
      </c>
      <c r="X117" t="s">
        <v>56</v>
      </c>
      <c r="Y117">
        <v>80</v>
      </c>
      <c r="Z117">
        <v>4</v>
      </c>
      <c r="AA117">
        <v>5.0999999999999996</v>
      </c>
      <c r="AB117">
        <v>20</v>
      </c>
      <c r="AC117">
        <f t="shared" si="68"/>
        <v>1381.8</v>
      </c>
      <c r="AD117">
        <f t="shared" si="69"/>
        <v>197.96</v>
      </c>
      <c r="AE117">
        <v>4</v>
      </c>
      <c r="AF117">
        <v>37</v>
      </c>
      <c r="AG117">
        <v>2</v>
      </c>
      <c r="AH117">
        <v>40</v>
      </c>
      <c r="AI117">
        <v>4</v>
      </c>
      <c r="AJ117">
        <v>37</v>
      </c>
      <c r="AK117">
        <v>2</v>
      </c>
      <c r="AL117">
        <v>40</v>
      </c>
      <c r="AN117">
        <v>355</v>
      </c>
      <c r="AO117">
        <v>250</v>
      </c>
      <c r="AP117" t="s">
        <v>39</v>
      </c>
      <c r="AR117">
        <v>15.9</v>
      </c>
      <c r="AS117">
        <v>199</v>
      </c>
      <c r="AT117">
        <f t="shared" si="70"/>
        <v>411.6</v>
      </c>
      <c r="AU117">
        <f t="shared" si="71"/>
        <v>173.06800000000004</v>
      </c>
      <c r="AV117" t="s">
        <v>56</v>
      </c>
      <c r="AW117">
        <v>55</v>
      </c>
      <c r="AX117">
        <v>4</v>
      </c>
      <c r="AY117">
        <v>5.0999999999999996</v>
      </c>
      <c r="AZ117">
        <v>20</v>
      </c>
      <c r="BA117">
        <f t="shared" si="72"/>
        <v>1381.8</v>
      </c>
      <c r="BB117">
        <f t="shared" si="73"/>
        <v>197.96</v>
      </c>
      <c r="BC117">
        <v>4</v>
      </c>
      <c r="BD117">
        <v>38</v>
      </c>
      <c r="BE117">
        <v>2</v>
      </c>
      <c r="BF117">
        <v>86</v>
      </c>
      <c r="BG117">
        <v>4</v>
      </c>
      <c r="BH117">
        <v>38</v>
      </c>
      <c r="BI117">
        <v>2</v>
      </c>
      <c r="BJ117">
        <v>86</v>
      </c>
      <c r="BL117" s="30">
        <v>0</v>
      </c>
      <c r="BM117" t="s">
        <v>166</v>
      </c>
      <c r="BN117" s="7" t="s">
        <v>772</v>
      </c>
      <c r="BP117" s="30">
        <v>20</v>
      </c>
      <c r="BQ117">
        <v>7</v>
      </c>
      <c r="BR117">
        <v>14</v>
      </c>
      <c r="BS117">
        <v>1382</v>
      </c>
      <c r="BT117">
        <v>197.96</v>
      </c>
      <c r="BU117" s="86">
        <v>0.31</v>
      </c>
    </row>
    <row r="118" spans="1:73">
      <c r="A118">
        <v>113</v>
      </c>
      <c r="B118" s="1">
        <v>2</v>
      </c>
      <c r="G118" t="s">
        <v>160</v>
      </c>
      <c r="H118" s="52" t="s">
        <v>190</v>
      </c>
      <c r="I118">
        <f>372*9.8/100</f>
        <v>36.456000000000003</v>
      </c>
      <c r="J118">
        <f>372*9.8/100</f>
        <v>36.456000000000003</v>
      </c>
      <c r="K118">
        <f>372*9.8/100</f>
        <v>36.456000000000003</v>
      </c>
      <c r="L118">
        <v>2080</v>
      </c>
      <c r="M118">
        <v>1200</v>
      </c>
      <c r="N118">
        <v>0</v>
      </c>
      <c r="O118">
        <f>0.3*320*320*372*9.8/100/1000</f>
        <v>1119.92832</v>
      </c>
      <c r="P118">
        <v>250</v>
      </c>
      <c r="Q118">
        <v>335</v>
      </c>
      <c r="R118" t="s">
        <v>39</v>
      </c>
      <c r="T118">
        <v>15.9</v>
      </c>
      <c r="U118">
        <v>199</v>
      </c>
      <c r="V118" s="1">
        <f t="shared" si="66"/>
        <v>428.26</v>
      </c>
      <c r="W118" s="1">
        <f t="shared" si="67"/>
        <v>195.02</v>
      </c>
      <c r="X118" t="s">
        <v>56</v>
      </c>
      <c r="Y118">
        <v>60</v>
      </c>
      <c r="Z118">
        <v>4</v>
      </c>
      <c r="AA118">
        <v>5.0999999999999996</v>
      </c>
      <c r="AB118">
        <v>20</v>
      </c>
      <c r="AC118">
        <f t="shared" si="68"/>
        <v>1381.8</v>
      </c>
      <c r="AD118">
        <f t="shared" si="69"/>
        <v>197.96</v>
      </c>
      <c r="AE118">
        <v>4</v>
      </c>
      <c r="AF118">
        <v>37</v>
      </c>
      <c r="AG118">
        <v>4</v>
      </c>
      <c r="AH118">
        <v>40</v>
      </c>
      <c r="AI118">
        <v>4</v>
      </c>
      <c r="AJ118">
        <v>37</v>
      </c>
      <c r="AK118">
        <v>4</v>
      </c>
      <c r="AL118">
        <v>40</v>
      </c>
      <c r="AN118">
        <v>355</v>
      </c>
      <c r="AO118">
        <v>320</v>
      </c>
      <c r="AP118" t="s">
        <v>57</v>
      </c>
      <c r="AR118">
        <v>19.100000000000001</v>
      </c>
      <c r="AS118">
        <v>287</v>
      </c>
      <c r="AT118">
        <f t="shared" ref="AT118:AT123" si="74">4700*9.8/100</f>
        <v>460.6</v>
      </c>
      <c r="AU118">
        <f t="shared" ref="AU118:AU123" si="75">1800*9.8/100</f>
        <v>176.4</v>
      </c>
      <c r="AV118" t="s">
        <v>56</v>
      </c>
      <c r="AW118">
        <v>30</v>
      </c>
      <c r="AX118">
        <v>4</v>
      </c>
      <c r="AY118">
        <v>5.0999999999999996</v>
      </c>
      <c r="AZ118">
        <v>20</v>
      </c>
      <c r="BA118">
        <f t="shared" si="72"/>
        <v>1381.8</v>
      </c>
      <c r="BB118">
        <f t="shared" si="73"/>
        <v>197.96</v>
      </c>
      <c r="BC118">
        <v>4</v>
      </c>
      <c r="BD118">
        <v>38</v>
      </c>
      <c r="BE118">
        <v>2</v>
      </c>
      <c r="BF118">
        <v>86</v>
      </c>
      <c r="BG118">
        <v>4</v>
      </c>
      <c r="BH118">
        <v>38</v>
      </c>
      <c r="BI118">
        <v>2</v>
      </c>
      <c r="BJ118">
        <v>86</v>
      </c>
      <c r="BL118" s="30">
        <v>0</v>
      </c>
      <c r="BM118" t="s">
        <v>166</v>
      </c>
      <c r="BN118" s="7" t="s">
        <v>772</v>
      </c>
      <c r="BQ118">
        <v>7</v>
      </c>
      <c r="BR118">
        <v>14</v>
      </c>
      <c r="BS118">
        <v>1382</v>
      </c>
      <c r="BT118">
        <v>197.96</v>
      </c>
      <c r="BU118" s="23">
        <v>0.35</v>
      </c>
    </row>
    <row r="119" spans="1:73">
      <c r="A119">
        <v>114</v>
      </c>
      <c r="B119" s="1">
        <v>2</v>
      </c>
      <c r="G119" t="s">
        <v>84</v>
      </c>
      <c r="H119" s="52" t="s">
        <v>191</v>
      </c>
      <c r="I119">
        <f>346*9.8/100</f>
        <v>33.908000000000001</v>
      </c>
      <c r="J119">
        <f>346*9.8/100</f>
        <v>33.908000000000001</v>
      </c>
      <c r="K119">
        <f>346*9.8/100</f>
        <v>33.908000000000001</v>
      </c>
      <c r="L119">
        <v>2080</v>
      </c>
      <c r="M119">
        <v>1200</v>
      </c>
      <c r="N119">
        <v>0</v>
      </c>
      <c r="O119">
        <f>0.3*285*285*346*9.8/100/1000</f>
        <v>826.2531899999999</v>
      </c>
      <c r="P119">
        <v>250</v>
      </c>
      <c r="Q119">
        <v>335</v>
      </c>
      <c r="R119" t="s">
        <v>39</v>
      </c>
      <c r="T119">
        <v>15.9</v>
      </c>
      <c r="U119">
        <v>199</v>
      </c>
      <c r="V119" s="1">
        <f t="shared" si="66"/>
        <v>428.26</v>
      </c>
      <c r="W119" s="1">
        <f t="shared" si="67"/>
        <v>195.02</v>
      </c>
      <c r="X119" t="s">
        <v>56</v>
      </c>
      <c r="Y119">
        <v>60</v>
      </c>
      <c r="Z119">
        <v>4</v>
      </c>
      <c r="AA119">
        <v>5.0999999999999996</v>
      </c>
      <c r="AB119">
        <v>20</v>
      </c>
      <c r="AC119">
        <f t="shared" si="68"/>
        <v>1381.8</v>
      </c>
      <c r="AD119">
        <f t="shared" si="69"/>
        <v>197.96</v>
      </c>
      <c r="AE119">
        <v>4</v>
      </c>
      <c r="AF119">
        <v>37</v>
      </c>
      <c r="AG119">
        <v>4</v>
      </c>
      <c r="AH119">
        <v>40</v>
      </c>
      <c r="AI119">
        <v>4</v>
      </c>
      <c r="AJ119">
        <v>37</v>
      </c>
      <c r="AK119">
        <v>4</v>
      </c>
      <c r="AL119">
        <v>40</v>
      </c>
      <c r="AN119">
        <v>355</v>
      </c>
      <c r="AO119">
        <v>285</v>
      </c>
      <c r="AP119" t="s">
        <v>57</v>
      </c>
      <c r="AR119">
        <v>19.100000000000001</v>
      </c>
      <c r="AS119">
        <v>287</v>
      </c>
      <c r="AT119">
        <f t="shared" si="74"/>
        <v>460.6</v>
      </c>
      <c r="AU119">
        <f t="shared" si="75"/>
        <v>176.4</v>
      </c>
      <c r="AV119" t="s">
        <v>56</v>
      </c>
      <c r="AW119">
        <v>30</v>
      </c>
      <c r="AX119">
        <v>4</v>
      </c>
      <c r="AY119">
        <v>5.0999999999999996</v>
      </c>
      <c r="AZ119">
        <v>20</v>
      </c>
      <c r="BA119">
        <f t="shared" si="72"/>
        <v>1381.8</v>
      </c>
      <c r="BB119">
        <f t="shared" si="73"/>
        <v>197.96</v>
      </c>
      <c r="BC119">
        <v>4</v>
      </c>
      <c r="BD119">
        <v>38</v>
      </c>
      <c r="BE119">
        <v>2</v>
      </c>
      <c r="BF119">
        <v>86</v>
      </c>
      <c r="BG119">
        <v>4</v>
      </c>
      <c r="BH119">
        <v>38</v>
      </c>
      <c r="BI119">
        <v>2</v>
      </c>
      <c r="BJ119">
        <v>86</v>
      </c>
      <c r="BL119" s="30">
        <v>0</v>
      </c>
      <c r="BM119" t="s">
        <v>166</v>
      </c>
      <c r="BN119" s="7" t="s">
        <v>772</v>
      </c>
      <c r="BQ119">
        <v>7</v>
      </c>
      <c r="BR119">
        <v>14</v>
      </c>
      <c r="BS119">
        <v>1382</v>
      </c>
      <c r="BT119">
        <v>197.96</v>
      </c>
      <c r="BU119" s="23">
        <v>0.4</v>
      </c>
    </row>
    <row r="120" spans="1:73">
      <c r="A120">
        <v>115</v>
      </c>
      <c r="B120" s="1">
        <v>2</v>
      </c>
      <c r="G120" t="s">
        <v>160</v>
      </c>
      <c r="H120" s="52" t="s">
        <v>192</v>
      </c>
      <c r="I120">
        <f>451*9.8/100</f>
        <v>44.198</v>
      </c>
      <c r="J120">
        <f>451*9.8/100</f>
        <v>44.198</v>
      </c>
      <c r="K120">
        <f>451*9.8/100</f>
        <v>44.198</v>
      </c>
      <c r="L120">
        <v>2080</v>
      </c>
      <c r="M120">
        <v>1200</v>
      </c>
      <c r="N120">
        <v>0</v>
      </c>
      <c r="O120">
        <f>0.3*320*320*451*9.8/100/1000</f>
        <v>1357.7625600000001</v>
      </c>
      <c r="P120">
        <v>250</v>
      </c>
      <c r="Q120">
        <v>335</v>
      </c>
      <c r="R120" t="s">
        <v>39</v>
      </c>
      <c r="T120">
        <v>15.9</v>
      </c>
      <c r="U120">
        <v>199</v>
      </c>
      <c r="V120" s="1">
        <f t="shared" si="66"/>
        <v>428.26</v>
      </c>
      <c r="W120" s="1">
        <f t="shared" si="67"/>
        <v>195.02</v>
      </c>
      <c r="X120" t="s">
        <v>56</v>
      </c>
      <c r="Y120">
        <v>60</v>
      </c>
      <c r="Z120">
        <v>4</v>
      </c>
      <c r="AA120">
        <v>5.0999999999999996</v>
      </c>
      <c r="AB120">
        <v>20</v>
      </c>
      <c r="AC120">
        <f t="shared" si="68"/>
        <v>1381.8</v>
      </c>
      <c r="AD120">
        <f t="shared" si="69"/>
        <v>197.96</v>
      </c>
      <c r="AE120">
        <v>4</v>
      </c>
      <c r="AF120">
        <v>37</v>
      </c>
      <c r="AG120">
        <v>4</v>
      </c>
      <c r="AH120">
        <v>40</v>
      </c>
      <c r="AI120">
        <v>4</v>
      </c>
      <c r="AJ120">
        <v>37</v>
      </c>
      <c r="AK120">
        <v>4</v>
      </c>
      <c r="AL120">
        <v>40</v>
      </c>
      <c r="AN120">
        <v>355</v>
      </c>
      <c r="AO120">
        <v>320</v>
      </c>
      <c r="AP120" t="s">
        <v>57</v>
      </c>
      <c r="AR120">
        <v>19.100000000000001</v>
      </c>
      <c r="AS120">
        <v>287</v>
      </c>
      <c r="AT120">
        <f t="shared" si="74"/>
        <v>460.6</v>
      </c>
      <c r="AU120">
        <f t="shared" si="75"/>
        <v>176.4</v>
      </c>
      <c r="AV120" t="s">
        <v>56</v>
      </c>
      <c r="AW120">
        <v>30</v>
      </c>
      <c r="AX120">
        <v>4</v>
      </c>
      <c r="AY120">
        <v>5.0999999999999996</v>
      </c>
      <c r="AZ120">
        <v>20</v>
      </c>
      <c r="BA120">
        <f t="shared" si="72"/>
        <v>1381.8</v>
      </c>
      <c r="BB120">
        <f t="shared" si="73"/>
        <v>197.96</v>
      </c>
      <c r="BC120">
        <v>4</v>
      </c>
      <c r="BD120">
        <v>38</v>
      </c>
      <c r="BE120">
        <v>2</v>
      </c>
      <c r="BF120">
        <v>86</v>
      </c>
      <c r="BG120">
        <v>4</v>
      </c>
      <c r="BH120">
        <v>38</v>
      </c>
      <c r="BI120">
        <v>2</v>
      </c>
      <c r="BJ120">
        <v>86</v>
      </c>
      <c r="BL120" s="30">
        <v>0</v>
      </c>
      <c r="BM120" t="s">
        <v>166</v>
      </c>
      <c r="BN120" s="7" t="s">
        <v>772</v>
      </c>
      <c r="BQ120">
        <v>7</v>
      </c>
      <c r="BR120">
        <v>14</v>
      </c>
      <c r="BS120">
        <v>1382</v>
      </c>
      <c r="BT120">
        <v>197.96</v>
      </c>
      <c r="BU120" s="23">
        <v>0.35</v>
      </c>
    </row>
    <row r="121" spans="1:73">
      <c r="A121">
        <v>116</v>
      </c>
      <c r="B121" s="1">
        <v>1</v>
      </c>
      <c r="G121" t="s">
        <v>84</v>
      </c>
      <c r="H121" s="1" t="s">
        <v>719</v>
      </c>
      <c r="I121">
        <f>442*9.8/100</f>
        <v>43.316000000000003</v>
      </c>
      <c r="J121">
        <f>442*9.8/100</f>
        <v>43.316000000000003</v>
      </c>
      <c r="K121">
        <f>442*9.8/100</f>
        <v>43.316000000000003</v>
      </c>
      <c r="L121">
        <v>2080</v>
      </c>
      <c r="M121">
        <v>1200</v>
      </c>
      <c r="N121">
        <v>0</v>
      </c>
      <c r="O121">
        <f>0.3*285*285*442*9.8/100/1000</f>
        <v>1055.5026300000002</v>
      </c>
      <c r="P121">
        <v>250</v>
      </c>
      <c r="Q121">
        <v>335</v>
      </c>
      <c r="R121" t="s">
        <v>39</v>
      </c>
      <c r="T121">
        <v>15.9</v>
      </c>
      <c r="U121">
        <v>199</v>
      </c>
      <c r="V121" s="1">
        <f t="shared" si="66"/>
        <v>428.26</v>
      </c>
      <c r="W121" s="1">
        <f t="shared" si="67"/>
        <v>195.02</v>
      </c>
      <c r="X121" t="s">
        <v>56</v>
      </c>
      <c r="Y121">
        <v>60</v>
      </c>
      <c r="Z121">
        <v>4</v>
      </c>
      <c r="AA121">
        <v>5.0999999999999996</v>
      </c>
      <c r="AB121">
        <v>20</v>
      </c>
      <c r="AC121">
        <f t="shared" si="68"/>
        <v>1381.8</v>
      </c>
      <c r="AD121">
        <f t="shared" si="69"/>
        <v>197.96</v>
      </c>
      <c r="AE121">
        <v>4</v>
      </c>
      <c r="AF121">
        <v>37</v>
      </c>
      <c r="AG121">
        <v>4</v>
      </c>
      <c r="AH121">
        <v>40</v>
      </c>
      <c r="AI121">
        <v>4</v>
      </c>
      <c r="AJ121">
        <v>37</v>
      </c>
      <c r="AK121">
        <v>4</v>
      </c>
      <c r="AL121">
        <v>40</v>
      </c>
      <c r="AN121">
        <v>355</v>
      </c>
      <c r="AO121">
        <v>285</v>
      </c>
      <c r="AP121" t="s">
        <v>57</v>
      </c>
      <c r="AR121">
        <v>19.100000000000001</v>
      </c>
      <c r="AS121">
        <v>287</v>
      </c>
      <c r="AT121">
        <f t="shared" si="74"/>
        <v>460.6</v>
      </c>
      <c r="AU121">
        <f t="shared" si="75"/>
        <v>176.4</v>
      </c>
      <c r="AV121" t="s">
        <v>56</v>
      </c>
      <c r="AW121">
        <v>30</v>
      </c>
      <c r="AX121">
        <v>4</v>
      </c>
      <c r="AY121">
        <v>5.0999999999999996</v>
      </c>
      <c r="AZ121">
        <v>20</v>
      </c>
      <c r="BA121">
        <f t="shared" si="72"/>
        <v>1381.8</v>
      </c>
      <c r="BB121">
        <f t="shared" si="73"/>
        <v>197.96</v>
      </c>
      <c r="BC121">
        <v>4</v>
      </c>
      <c r="BD121">
        <v>38</v>
      </c>
      <c r="BE121">
        <v>2</v>
      </c>
      <c r="BF121">
        <v>86</v>
      </c>
      <c r="BG121">
        <v>4</v>
      </c>
      <c r="BH121">
        <v>38</v>
      </c>
      <c r="BI121">
        <v>2</v>
      </c>
      <c r="BJ121">
        <v>86</v>
      </c>
      <c r="BL121" s="30">
        <v>0</v>
      </c>
      <c r="BM121" t="s">
        <v>166</v>
      </c>
      <c r="BN121" s="7" t="s">
        <v>772</v>
      </c>
      <c r="BP121" s="30">
        <v>20</v>
      </c>
      <c r="BQ121">
        <v>7</v>
      </c>
      <c r="BR121">
        <v>14</v>
      </c>
      <c r="BS121">
        <v>1382</v>
      </c>
      <c r="BT121">
        <v>197.96</v>
      </c>
      <c r="BU121" s="23">
        <v>0.4</v>
      </c>
    </row>
    <row r="122" spans="1:73">
      <c r="A122">
        <v>117</v>
      </c>
      <c r="B122" s="1">
        <v>2</v>
      </c>
      <c r="G122" t="s">
        <v>160</v>
      </c>
      <c r="H122" s="52" t="s">
        <v>193</v>
      </c>
      <c r="I122">
        <f>528*9.8/100</f>
        <v>51.744000000000007</v>
      </c>
      <c r="J122">
        <f>528*9.8/100</f>
        <v>51.744000000000007</v>
      </c>
      <c r="K122">
        <f>528*9.8/100</f>
        <v>51.744000000000007</v>
      </c>
      <c r="L122">
        <v>2080</v>
      </c>
      <c r="M122">
        <v>1200</v>
      </c>
      <c r="N122">
        <v>0</v>
      </c>
      <c r="O122">
        <f>0.3*320*320*528*9.8/100/1000</f>
        <v>1589.5756799999999</v>
      </c>
      <c r="P122">
        <v>250</v>
      </c>
      <c r="Q122">
        <v>335</v>
      </c>
      <c r="R122" t="s">
        <v>39</v>
      </c>
      <c r="T122">
        <v>15.9</v>
      </c>
      <c r="U122">
        <v>199</v>
      </c>
      <c r="V122" s="1">
        <f t="shared" si="66"/>
        <v>428.26</v>
      </c>
      <c r="W122" s="1">
        <f t="shared" si="67"/>
        <v>195.02</v>
      </c>
      <c r="X122" t="s">
        <v>56</v>
      </c>
      <c r="Y122">
        <v>60</v>
      </c>
      <c r="Z122">
        <v>4</v>
      </c>
      <c r="AA122">
        <v>5.0999999999999996</v>
      </c>
      <c r="AB122">
        <v>20</v>
      </c>
      <c r="AC122">
        <f t="shared" si="68"/>
        <v>1381.8</v>
      </c>
      <c r="AD122">
        <f t="shared" si="69"/>
        <v>197.96</v>
      </c>
      <c r="AE122">
        <v>4</v>
      </c>
      <c r="AF122">
        <v>37</v>
      </c>
      <c r="AG122">
        <v>4</v>
      </c>
      <c r="AH122">
        <v>40</v>
      </c>
      <c r="AI122">
        <v>4</v>
      </c>
      <c r="AJ122">
        <v>37</v>
      </c>
      <c r="AK122">
        <v>4</v>
      </c>
      <c r="AL122">
        <v>40</v>
      </c>
      <c r="AN122">
        <v>355</v>
      </c>
      <c r="AO122">
        <v>320</v>
      </c>
      <c r="AP122" t="s">
        <v>57</v>
      </c>
      <c r="AR122">
        <v>19.100000000000001</v>
      </c>
      <c r="AS122">
        <v>287</v>
      </c>
      <c r="AT122">
        <f t="shared" si="74"/>
        <v>460.6</v>
      </c>
      <c r="AU122">
        <f t="shared" si="75"/>
        <v>176.4</v>
      </c>
      <c r="AV122" t="s">
        <v>56</v>
      </c>
      <c r="AW122">
        <v>30</v>
      </c>
      <c r="AX122">
        <v>4</v>
      </c>
      <c r="AY122">
        <v>5.0999999999999996</v>
      </c>
      <c r="AZ122">
        <v>20</v>
      </c>
      <c r="BA122">
        <f t="shared" si="72"/>
        <v>1381.8</v>
      </c>
      <c r="BB122">
        <f t="shared" si="73"/>
        <v>197.96</v>
      </c>
      <c r="BC122">
        <v>4</v>
      </c>
      <c r="BD122">
        <v>38</v>
      </c>
      <c r="BE122">
        <v>2</v>
      </c>
      <c r="BF122">
        <v>86</v>
      </c>
      <c r="BG122">
        <v>4</v>
      </c>
      <c r="BH122">
        <v>38</v>
      </c>
      <c r="BI122">
        <v>2</v>
      </c>
      <c r="BJ122">
        <v>86</v>
      </c>
      <c r="BL122" s="30">
        <v>0</v>
      </c>
      <c r="BM122" t="s">
        <v>166</v>
      </c>
      <c r="BN122" s="7" t="s">
        <v>772</v>
      </c>
      <c r="BQ122">
        <v>7</v>
      </c>
      <c r="BR122">
        <v>14</v>
      </c>
      <c r="BS122">
        <v>1382</v>
      </c>
      <c r="BT122">
        <v>197.96</v>
      </c>
      <c r="BU122" s="23">
        <v>0.35</v>
      </c>
    </row>
    <row r="123" spans="1:73">
      <c r="A123">
        <v>118</v>
      </c>
      <c r="B123" s="1">
        <v>1</v>
      </c>
      <c r="G123" t="s">
        <v>160</v>
      </c>
      <c r="H123" s="1" t="s">
        <v>194</v>
      </c>
      <c r="I123">
        <f>540*9.8/100</f>
        <v>52.92</v>
      </c>
      <c r="J123">
        <f>540*9.8/100</f>
        <v>52.92</v>
      </c>
      <c r="K123">
        <f>540*9.8/100</f>
        <v>52.92</v>
      </c>
      <c r="L123">
        <v>2080</v>
      </c>
      <c r="M123">
        <v>1200</v>
      </c>
      <c r="N123">
        <v>0</v>
      </c>
      <c r="O123">
        <f>0.3*285*285*540*9.8/100/1000</f>
        <v>1289.5281</v>
      </c>
      <c r="P123">
        <v>250</v>
      </c>
      <c r="Q123">
        <v>335</v>
      </c>
      <c r="R123" t="s">
        <v>39</v>
      </c>
      <c r="T123">
        <v>15.9</v>
      </c>
      <c r="U123">
        <v>199</v>
      </c>
      <c r="V123" s="1">
        <f t="shared" si="66"/>
        <v>428.26</v>
      </c>
      <c r="W123" s="1">
        <f t="shared" si="67"/>
        <v>195.02</v>
      </c>
      <c r="X123" t="s">
        <v>56</v>
      </c>
      <c r="Y123">
        <v>60</v>
      </c>
      <c r="Z123">
        <v>4</v>
      </c>
      <c r="AA123">
        <v>5.0999999999999996</v>
      </c>
      <c r="AB123">
        <v>20</v>
      </c>
      <c r="AC123">
        <f t="shared" si="68"/>
        <v>1381.8</v>
      </c>
      <c r="AD123">
        <f t="shared" si="69"/>
        <v>197.96</v>
      </c>
      <c r="AE123">
        <v>4</v>
      </c>
      <c r="AF123">
        <v>37</v>
      </c>
      <c r="AG123">
        <v>4</v>
      </c>
      <c r="AH123">
        <v>40</v>
      </c>
      <c r="AI123">
        <v>4</v>
      </c>
      <c r="AJ123">
        <v>37</v>
      </c>
      <c r="AK123">
        <v>4</v>
      </c>
      <c r="AL123">
        <v>40</v>
      </c>
      <c r="AN123">
        <v>355</v>
      </c>
      <c r="AO123">
        <v>285</v>
      </c>
      <c r="AP123" t="s">
        <v>57</v>
      </c>
      <c r="AR123">
        <v>19.100000000000001</v>
      </c>
      <c r="AS123">
        <v>287</v>
      </c>
      <c r="AT123">
        <f t="shared" si="74"/>
        <v>460.6</v>
      </c>
      <c r="AU123">
        <f t="shared" si="75"/>
        <v>176.4</v>
      </c>
      <c r="AV123" t="s">
        <v>56</v>
      </c>
      <c r="AW123">
        <v>30</v>
      </c>
      <c r="AX123">
        <v>4</v>
      </c>
      <c r="AY123">
        <v>5.0999999999999996</v>
      </c>
      <c r="AZ123">
        <v>20</v>
      </c>
      <c r="BA123">
        <f t="shared" si="72"/>
        <v>1381.8</v>
      </c>
      <c r="BB123">
        <f t="shared" si="73"/>
        <v>197.96</v>
      </c>
      <c r="BC123">
        <v>4</v>
      </c>
      <c r="BD123">
        <v>38</v>
      </c>
      <c r="BE123">
        <v>2</v>
      </c>
      <c r="BF123">
        <v>86</v>
      </c>
      <c r="BG123">
        <v>4</v>
      </c>
      <c r="BH123">
        <v>38</v>
      </c>
      <c r="BI123">
        <v>2</v>
      </c>
      <c r="BJ123">
        <v>86</v>
      </c>
      <c r="BL123" s="30">
        <v>0</v>
      </c>
      <c r="BM123" t="s">
        <v>166</v>
      </c>
      <c r="BN123" s="7" t="s">
        <v>772</v>
      </c>
      <c r="BP123" s="30">
        <v>20</v>
      </c>
      <c r="BQ123">
        <v>7</v>
      </c>
      <c r="BR123">
        <v>14</v>
      </c>
      <c r="BS123">
        <v>1382</v>
      </c>
      <c r="BT123">
        <v>197.96</v>
      </c>
      <c r="BU123" s="23">
        <v>0.4</v>
      </c>
    </row>
    <row r="124" spans="1:73">
      <c r="A124">
        <v>119</v>
      </c>
      <c r="B124" s="1">
        <v>1</v>
      </c>
      <c r="C124">
        <v>32</v>
      </c>
      <c r="D124" t="s">
        <v>58</v>
      </c>
      <c r="E124">
        <v>1991</v>
      </c>
      <c r="F124" t="s">
        <v>27</v>
      </c>
      <c r="G124" t="s">
        <v>160</v>
      </c>
      <c r="H124" s="1" t="s">
        <v>195</v>
      </c>
      <c r="I124">
        <f>666*9.8/100</f>
        <v>65.268000000000001</v>
      </c>
      <c r="J124">
        <f>666*9.8/100</f>
        <v>65.268000000000001</v>
      </c>
      <c r="K124">
        <f>666*9.8/100</f>
        <v>65.268000000000001</v>
      </c>
      <c r="L124">
        <v>2800</v>
      </c>
      <c r="M124">
        <v>1500</v>
      </c>
      <c r="N124">
        <v>0</v>
      </c>
      <c r="O124">
        <v>980</v>
      </c>
      <c r="P124">
        <v>300</v>
      </c>
      <c r="Q124">
        <v>400</v>
      </c>
      <c r="R124" t="s">
        <v>57</v>
      </c>
      <c r="S124" s="30" t="s">
        <v>196</v>
      </c>
      <c r="T124">
        <v>19.100000000000001</v>
      </c>
      <c r="U124">
        <v>287</v>
      </c>
      <c r="V124" s="1">
        <f>59.3*9.8</f>
        <v>581.14</v>
      </c>
      <c r="W124" s="1">
        <v>202</v>
      </c>
      <c r="X124" t="s">
        <v>197</v>
      </c>
      <c r="Y124">
        <v>60</v>
      </c>
      <c r="Z124">
        <v>4</v>
      </c>
      <c r="AA124">
        <v>7.94</v>
      </c>
      <c r="AB124">
        <v>50</v>
      </c>
      <c r="AC124">
        <f>89.7*9.8</f>
        <v>879.06000000000006</v>
      </c>
      <c r="AD124">
        <v>201</v>
      </c>
      <c r="AE124">
        <v>4</v>
      </c>
      <c r="AF124">
        <v>45</v>
      </c>
      <c r="AG124">
        <v>2</v>
      </c>
      <c r="AH124">
        <v>45</v>
      </c>
      <c r="AI124">
        <v>4</v>
      </c>
      <c r="AJ124">
        <v>45</v>
      </c>
      <c r="AK124">
        <v>2</v>
      </c>
      <c r="AL124">
        <v>45</v>
      </c>
      <c r="AN124">
        <v>310</v>
      </c>
      <c r="AO124">
        <v>310</v>
      </c>
      <c r="AP124" t="s">
        <v>57</v>
      </c>
      <c r="AQ124" s="30" t="s">
        <v>196</v>
      </c>
      <c r="AR124">
        <v>19.100000000000001</v>
      </c>
      <c r="AS124">
        <v>287</v>
      </c>
      <c r="AT124">
        <f>59.3*9.8</f>
        <v>581.14</v>
      </c>
      <c r="AU124">
        <v>202</v>
      </c>
      <c r="AV124" t="s">
        <v>197</v>
      </c>
      <c r="AW124">
        <v>60</v>
      </c>
      <c r="AX124">
        <v>3</v>
      </c>
      <c r="AY124">
        <v>7.94</v>
      </c>
      <c r="AZ124">
        <v>50</v>
      </c>
      <c r="BA124">
        <f>89.7*9.8</f>
        <v>879.06000000000006</v>
      </c>
      <c r="BB124">
        <v>201</v>
      </c>
      <c r="BC124">
        <v>4</v>
      </c>
      <c r="BD124">
        <v>45</v>
      </c>
      <c r="BE124">
        <v>2</v>
      </c>
      <c r="BF124">
        <v>100</v>
      </c>
      <c r="BG124">
        <v>4</v>
      </c>
      <c r="BH124">
        <v>45</v>
      </c>
      <c r="BI124">
        <v>2</v>
      </c>
      <c r="BJ124">
        <v>100</v>
      </c>
      <c r="BL124" s="30">
        <v>0</v>
      </c>
      <c r="BM124" t="s">
        <v>166</v>
      </c>
      <c r="BN124" t="s">
        <v>770</v>
      </c>
      <c r="BP124" s="30">
        <v>50</v>
      </c>
      <c r="BQ124">
        <v>4</v>
      </c>
      <c r="BR124">
        <v>8</v>
      </c>
      <c r="BS124">
        <v>879.1</v>
      </c>
      <c r="BT124">
        <v>201</v>
      </c>
      <c r="BU124" s="23">
        <v>0.4</v>
      </c>
    </row>
    <row r="125" spans="1:73">
      <c r="A125">
        <v>120</v>
      </c>
      <c r="B125" s="1">
        <v>1</v>
      </c>
      <c r="G125" t="s">
        <v>84</v>
      </c>
      <c r="H125" s="1" t="s">
        <v>198</v>
      </c>
      <c r="I125">
        <f>697*9.8/100</f>
        <v>68.305999999999997</v>
      </c>
      <c r="J125">
        <f>697*9.8/100</f>
        <v>68.305999999999997</v>
      </c>
      <c r="K125">
        <f>697*9.8/100</f>
        <v>68.305999999999997</v>
      </c>
      <c r="L125">
        <v>2800</v>
      </c>
      <c r="M125">
        <v>1500</v>
      </c>
      <c r="N125">
        <v>0</v>
      </c>
      <c r="O125">
        <v>980</v>
      </c>
      <c r="P125">
        <v>300</v>
      </c>
      <c r="Q125">
        <v>400</v>
      </c>
      <c r="R125" t="s">
        <v>57</v>
      </c>
      <c r="S125" s="30" t="s">
        <v>177</v>
      </c>
      <c r="T125">
        <v>19.100000000000001</v>
      </c>
      <c r="U125">
        <v>287</v>
      </c>
      <c r="V125" s="1">
        <f>80*9.8</f>
        <v>784</v>
      </c>
      <c r="W125" s="1">
        <v>204</v>
      </c>
      <c r="X125" t="s">
        <v>197</v>
      </c>
      <c r="Y125">
        <v>60</v>
      </c>
      <c r="Z125">
        <v>4</v>
      </c>
      <c r="AA125">
        <v>7.94</v>
      </c>
      <c r="AB125">
        <v>50</v>
      </c>
      <c r="AC125">
        <f>89.7*9.8</f>
        <v>879.06000000000006</v>
      </c>
      <c r="AD125">
        <v>201</v>
      </c>
      <c r="AE125">
        <v>4</v>
      </c>
      <c r="AF125">
        <v>45</v>
      </c>
      <c r="AG125">
        <v>2</v>
      </c>
      <c r="AH125">
        <v>45</v>
      </c>
      <c r="AI125">
        <v>4</v>
      </c>
      <c r="AJ125">
        <v>45</v>
      </c>
      <c r="AK125">
        <v>2</v>
      </c>
      <c r="AL125">
        <v>45</v>
      </c>
      <c r="AN125">
        <v>310</v>
      </c>
      <c r="AO125">
        <v>310</v>
      </c>
      <c r="AP125" t="s">
        <v>57</v>
      </c>
      <c r="AQ125" s="30" t="s">
        <v>177</v>
      </c>
      <c r="AR125">
        <v>19.100000000000001</v>
      </c>
      <c r="AS125">
        <v>287</v>
      </c>
      <c r="AT125">
        <f>80*9.8</f>
        <v>784</v>
      </c>
      <c r="AU125">
        <v>204</v>
      </c>
      <c r="AV125" t="s">
        <v>197</v>
      </c>
      <c r="AW125">
        <v>60</v>
      </c>
      <c r="AX125">
        <v>3</v>
      </c>
      <c r="AY125">
        <v>7.94</v>
      </c>
      <c r="AZ125">
        <v>50</v>
      </c>
      <c r="BA125">
        <f>89.7*9.8</f>
        <v>879.06000000000006</v>
      </c>
      <c r="BB125">
        <v>201</v>
      </c>
      <c r="BC125">
        <v>4</v>
      </c>
      <c r="BD125">
        <v>45</v>
      </c>
      <c r="BE125">
        <v>2</v>
      </c>
      <c r="BF125">
        <v>100</v>
      </c>
      <c r="BG125">
        <v>4</v>
      </c>
      <c r="BH125">
        <v>45</v>
      </c>
      <c r="BI125">
        <v>2</v>
      </c>
      <c r="BJ125">
        <v>100</v>
      </c>
      <c r="BL125" s="30">
        <v>0</v>
      </c>
      <c r="BM125" t="s">
        <v>166</v>
      </c>
      <c r="BN125" t="s">
        <v>770</v>
      </c>
      <c r="BP125" s="30">
        <v>50</v>
      </c>
      <c r="BQ125">
        <v>4</v>
      </c>
      <c r="BR125">
        <v>8</v>
      </c>
      <c r="BS125">
        <v>879.1</v>
      </c>
      <c r="BT125">
        <v>201</v>
      </c>
      <c r="BU125" s="23">
        <v>0.4</v>
      </c>
    </row>
    <row r="126" spans="1:73">
      <c r="A126">
        <v>121</v>
      </c>
      <c r="B126" s="1">
        <v>1</v>
      </c>
      <c r="G126" t="s">
        <v>160</v>
      </c>
      <c r="H126" s="1" t="s">
        <v>199</v>
      </c>
      <c r="I126">
        <f>937*9.8/100</f>
        <v>91.826000000000008</v>
      </c>
      <c r="J126">
        <f>937*9.8/100</f>
        <v>91.826000000000008</v>
      </c>
      <c r="K126">
        <f>937*9.8/100</f>
        <v>91.826000000000008</v>
      </c>
      <c r="L126">
        <v>2800</v>
      </c>
      <c r="M126">
        <v>1500</v>
      </c>
      <c r="N126">
        <v>0</v>
      </c>
      <c r="O126">
        <v>980</v>
      </c>
      <c r="P126">
        <v>300</v>
      </c>
      <c r="Q126">
        <v>400</v>
      </c>
      <c r="R126" t="s">
        <v>57</v>
      </c>
      <c r="S126" s="30" t="s">
        <v>177</v>
      </c>
      <c r="T126">
        <v>19.100000000000001</v>
      </c>
      <c r="U126">
        <v>287</v>
      </c>
      <c r="V126" s="1">
        <f>80*9.8</f>
        <v>784</v>
      </c>
      <c r="W126" s="1">
        <v>204</v>
      </c>
      <c r="X126" t="s">
        <v>197</v>
      </c>
      <c r="Y126">
        <v>60</v>
      </c>
      <c r="Z126">
        <v>4</v>
      </c>
      <c r="AA126">
        <v>7.94</v>
      </c>
      <c r="AB126">
        <v>50</v>
      </c>
      <c r="AC126">
        <f>89.7*9.8</f>
        <v>879.06000000000006</v>
      </c>
      <c r="AD126">
        <v>201</v>
      </c>
      <c r="AE126">
        <v>4</v>
      </c>
      <c r="AF126">
        <v>45</v>
      </c>
      <c r="AG126">
        <v>2</v>
      </c>
      <c r="AH126">
        <v>45</v>
      </c>
      <c r="AI126">
        <v>4</v>
      </c>
      <c r="AJ126">
        <v>45</v>
      </c>
      <c r="AK126">
        <v>2</v>
      </c>
      <c r="AL126">
        <v>45</v>
      </c>
      <c r="AN126">
        <v>310</v>
      </c>
      <c r="AO126">
        <v>310</v>
      </c>
      <c r="AP126" t="s">
        <v>57</v>
      </c>
      <c r="AQ126" s="30" t="s">
        <v>177</v>
      </c>
      <c r="AR126">
        <v>19.100000000000001</v>
      </c>
      <c r="AS126">
        <v>287</v>
      </c>
      <c r="AT126">
        <f>80*9.8</f>
        <v>784</v>
      </c>
      <c r="AU126">
        <v>204</v>
      </c>
      <c r="AV126" t="s">
        <v>197</v>
      </c>
      <c r="AW126">
        <v>60</v>
      </c>
      <c r="AX126">
        <v>3</v>
      </c>
      <c r="AY126">
        <v>7.94</v>
      </c>
      <c r="AZ126">
        <v>50</v>
      </c>
      <c r="BA126">
        <f>89.7*9.8</f>
        <v>879.06000000000006</v>
      </c>
      <c r="BB126">
        <v>201</v>
      </c>
      <c r="BC126">
        <v>4</v>
      </c>
      <c r="BD126">
        <v>45</v>
      </c>
      <c r="BE126">
        <v>2</v>
      </c>
      <c r="BF126">
        <v>100</v>
      </c>
      <c r="BG126">
        <v>4</v>
      </c>
      <c r="BH126">
        <v>45</v>
      </c>
      <c r="BI126">
        <v>2</v>
      </c>
      <c r="BJ126">
        <v>100</v>
      </c>
      <c r="BL126" s="30">
        <v>0</v>
      </c>
      <c r="BM126" t="s">
        <v>166</v>
      </c>
      <c r="BN126" t="s">
        <v>770</v>
      </c>
      <c r="BP126" s="30">
        <v>50</v>
      </c>
      <c r="BQ126">
        <v>4</v>
      </c>
      <c r="BR126">
        <v>8</v>
      </c>
      <c r="BS126">
        <v>879.1</v>
      </c>
      <c r="BT126">
        <v>201</v>
      </c>
      <c r="BU126" s="23">
        <v>0.4</v>
      </c>
    </row>
    <row r="127" spans="1:73">
      <c r="A127">
        <v>122</v>
      </c>
      <c r="B127" s="1">
        <v>1</v>
      </c>
      <c r="G127" t="s">
        <v>160</v>
      </c>
      <c r="H127" s="1" t="s">
        <v>200</v>
      </c>
      <c r="I127">
        <f>654*9.8/100</f>
        <v>64.092000000000013</v>
      </c>
      <c r="J127">
        <f>654*9.8/100</f>
        <v>64.092000000000013</v>
      </c>
      <c r="K127">
        <f>654*9.8/100</f>
        <v>64.092000000000013</v>
      </c>
      <c r="L127">
        <v>2800</v>
      </c>
      <c r="M127">
        <v>1500</v>
      </c>
      <c r="N127">
        <v>0</v>
      </c>
      <c r="O127">
        <v>980</v>
      </c>
      <c r="P127">
        <v>300</v>
      </c>
      <c r="Q127">
        <v>400</v>
      </c>
      <c r="R127" t="s">
        <v>57</v>
      </c>
      <c r="S127" s="30" t="s">
        <v>177</v>
      </c>
      <c r="T127">
        <v>19.100000000000001</v>
      </c>
      <c r="U127">
        <v>287</v>
      </c>
      <c r="V127" s="1">
        <f>80*9.8</f>
        <v>784</v>
      </c>
      <c r="W127" s="1">
        <v>204</v>
      </c>
      <c r="X127" t="s">
        <v>197</v>
      </c>
      <c r="Y127">
        <v>60</v>
      </c>
      <c r="Z127">
        <v>4</v>
      </c>
      <c r="AA127">
        <v>7.94</v>
      </c>
      <c r="AB127">
        <v>50</v>
      </c>
      <c r="AC127">
        <f>89.7*9.8</f>
        <v>879.06000000000006</v>
      </c>
      <c r="AD127">
        <v>201</v>
      </c>
      <c r="AE127">
        <v>4</v>
      </c>
      <c r="AF127">
        <v>45</v>
      </c>
      <c r="AG127">
        <v>2</v>
      </c>
      <c r="AH127">
        <v>45</v>
      </c>
      <c r="AI127">
        <v>4</v>
      </c>
      <c r="AJ127">
        <v>45</v>
      </c>
      <c r="AK127">
        <v>2</v>
      </c>
      <c r="AL127">
        <v>45</v>
      </c>
      <c r="AN127">
        <v>310</v>
      </c>
      <c r="AO127">
        <v>310</v>
      </c>
      <c r="AP127" t="s">
        <v>57</v>
      </c>
      <c r="AQ127" s="30" t="s">
        <v>177</v>
      </c>
      <c r="AR127">
        <v>19.100000000000001</v>
      </c>
      <c r="AS127">
        <v>287</v>
      </c>
      <c r="AT127">
        <f>80*9.8</f>
        <v>784</v>
      </c>
      <c r="AU127">
        <v>204</v>
      </c>
      <c r="AV127" t="s">
        <v>197</v>
      </c>
      <c r="AW127">
        <v>60</v>
      </c>
      <c r="AX127">
        <v>3</v>
      </c>
      <c r="AY127">
        <v>7.94</v>
      </c>
      <c r="AZ127">
        <v>50</v>
      </c>
      <c r="BA127">
        <f>89.7*9.8</f>
        <v>879.06000000000006</v>
      </c>
      <c r="BB127">
        <v>201</v>
      </c>
      <c r="BC127">
        <v>4</v>
      </c>
      <c r="BD127">
        <v>45</v>
      </c>
      <c r="BE127">
        <v>2</v>
      </c>
      <c r="BF127">
        <v>100</v>
      </c>
      <c r="BG127">
        <v>4</v>
      </c>
      <c r="BH127">
        <v>45</v>
      </c>
      <c r="BI127">
        <v>2</v>
      </c>
      <c r="BJ127">
        <v>100</v>
      </c>
      <c r="BL127" s="30">
        <v>0</v>
      </c>
      <c r="BM127" t="s">
        <v>379</v>
      </c>
      <c r="BN127" t="s">
        <v>771</v>
      </c>
      <c r="BP127" s="30">
        <v>50</v>
      </c>
      <c r="BQ127">
        <v>4</v>
      </c>
      <c r="BR127">
        <v>16</v>
      </c>
      <c r="BS127">
        <f>89*9.8</f>
        <v>872.2</v>
      </c>
      <c r="BT127">
        <v>205</v>
      </c>
      <c r="BU127" s="23">
        <v>1.2</v>
      </c>
    </row>
    <row r="128" spans="1:73">
      <c r="A128">
        <v>123</v>
      </c>
      <c r="B128" s="1">
        <v>1</v>
      </c>
      <c r="C128">
        <v>33</v>
      </c>
      <c r="D128" t="s">
        <v>59</v>
      </c>
      <c r="E128">
        <v>1991</v>
      </c>
      <c r="F128" t="s">
        <v>27</v>
      </c>
      <c r="G128" t="s">
        <v>160</v>
      </c>
      <c r="H128" s="1" t="s">
        <v>201</v>
      </c>
      <c r="I128">
        <f t="shared" ref="I128:K129" si="76">289*9.8/100</f>
        <v>28.322000000000003</v>
      </c>
      <c r="J128">
        <f t="shared" si="76"/>
        <v>28.322000000000003</v>
      </c>
      <c r="K128">
        <f t="shared" si="76"/>
        <v>28.322000000000003</v>
      </c>
      <c r="L128">
        <v>3000</v>
      </c>
      <c r="M128">
        <v>2000</v>
      </c>
      <c r="N128">
        <v>0</v>
      </c>
      <c r="O128">
        <f t="shared" ref="O128:O134" si="77">300*9.8/100*400*400/6/1000</f>
        <v>784</v>
      </c>
      <c r="P128">
        <v>300</v>
      </c>
      <c r="Q128">
        <v>400</v>
      </c>
      <c r="R128" t="s">
        <v>57</v>
      </c>
      <c r="S128" s="30" t="s">
        <v>202</v>
      </c>
      <c r="T128">
        <v>19.100000000000001</v>
      </c>
      <c r="U128">
        <v>287</v>
      </c>
      <c r="V128" s="1">
        <f>4130*9.8/100</f>
        <v>404.74</v>
      </c>
      <c r="W128" s="1">
        <f>2050*9.8/100</f>
        <v>200.9</v>
      </c>
      <c r="X128" t="s">
        <v>181</v>
      </c>
      <c r="Y128">
        <v>50</v>
      </c>
      <c r="Z128">
        <v>2</v>
      </c>
      <c r="AA128">
        <v>6.4</v>
      </c>
      <c r="AB128">
        <v>32</v>
      </c>
      <c r="AC128">
        <v>1431</v>
      </c>
      <c r="AD128">
        <v>207</v>
      </c>
      <c r="AE128">
        <v>4</v>
      </c>
      <c r="AF128">
        <v>40</v>
      </c>
      <c r="AG128">
        <v>2</v>
      </c>
      <c r="AH128">
        <v>40</v>
      </c>
      <c r="AI128">
        <v>4</v>
      </c>
      <c r="AJ128">
        <v>40</v>
      </c>
      <c r="AK128">
        <v>2</v>
      </c>
      <c r="AL128">
        <v>40</v>
      </c>
      <c r="AN128">
        <v>400</v>
      </c>
      <c r="AO128">
        <v>400</v>
      </c>
      <c r="AP128" t="s">
        <v>57</v>
      </c>
      <c r="AQ128" s="30" t="s">
        <v>202</v>
      </c>
      <c r="AR128">
        <v>19.100000000000001</v>
      </c>
      <c r="AS128">
        <v>287</v>
      </c>
      <c r="AT128">
        <f>4130*9.8/100</f>
        <v>404.74</v>
      </c>
      <c r="AU128">
        <f>2050*9.8/100</f>
        <v>200.9</v>
      </c>
      <c r="AV128" t="s">
        <v>181</v>
      </c>
      <c r="AW128">
        <v>50</v>
      </c>
      <c r="AX128">
        <v>2</v>
      </c>
      <c r="AY128">
        <v>6.4</v>
      </c>
      <c r="AZ128">
        <v>32</v>
      </c>
      <c r="BA128">
        <v>1431</v>
      </c>
      <c r="BB128">
        <v>207</v>
      </c>
      <c r="BC128">
        <v>5</v>
      </c>
      <c r="BD128">
        <v>40</v>
      </c>
      <c r="BE128">
        <v>2</v>
      </c>
      <c r="BF128">
        <v>80</v>
      </c>
      <c r="BG128">
        <v>5</v>
      </c>
      <c r="BH128">
        <v>40</v>
      </c>
      <c r="BI128">
        <v>2</v>
      </c>
      <c r="BJ128">
        <v>80</v>
      </c>
      <c r="BL128" s="30">
        <v>2</v>
      </c>
      <c r="BM128" t="s">
        <v>166</v>
      </c>
      <c r="BN128" t="s">
        <v>774</v>
      </c>
      <c r="BP128" s="30">
        <v>30</v>
      </c>
      <c r="BQ128">
        <v>8</v>
      </c>
      <c r="BR128">
        <v>16</v>
      </c>
      <c r="BS128">
        <v>1431</v>
      </c>
      <c r="BT128">
        <v>207</v>
      </c>
    </row>
    <row r="129" spans="1:73">
      <c r="A129">
        <v>124</v>
      </c>
      <c r="B129" s="1">
        <v>1</v>
      </c>
      <c r="G129" t="s">
        <v>84</v>
      </c>
      <c r="H129" s="1" t="s">
        <v>104</v>
      </c>
      <c r="I129">
        <f t="shared" si="76"/>
        <v>28.322000000000003</v>
      </c>
      <c r="J129">
        <f t="shared" si="76"/>
        <v>28.322000000000003</v>
      </c>
      <c r="K129">
        <f t="shared" si="76"/>
        <v>28.322000000000003</v>
      </c>
      <c r="L129">
        <v>3000</v>
      </c>
      <c r="M129">
        <v>2000</v>
      </c>
      <c r="N129">
        <v>0</v>
      </c>
      <c r="O129">
        <f t="shared" si="77"/>
        <v>784</v>
      </c>
      <c r="P129">
        <v>300</v>
      </c>
      <c r="Q129">
        <v>400</v>
      </c>
      <c r="R129" t="s">
        <v>57</v>
      </c>
      <c r="S129" s="30" t="s">
        <v>203</v>
      </c>
      <c r="T129">
        <v>19.100000000000001</v>
      </c>
      <c r="U129">
        <v>287</v>
      </c>
      <c r="V129" s="1">
        <f>9308*9.8/100</f>
        <v>912.18400000000008</v>
      </c>
      <c r="W129" s="1">
        <f>1890*9.8/100</f>
        <v>185.22</v>
      </c>
      <c r="X129" t="s">
        <v>181</v>
      </c>
      <c r="Y129">
        <v>50</v>
      </c>
      <c r="Z129">
        <v>2</v>
      </c>
      <c r="AA129">
        <v>6.4</v>
      </c>
      <c r="AB129">
        <v>32</v>
      </c>
      <c r="AC129">
        <v>1431</v>
      </c>
      <c r="AD129">
        <v>207</v>
      </c>
      <c r="AE129">
        <v>4</v>
      </c>
      <c r="AF129">
        <v>40</v>
      </c>
      <c r="AG129">
        <v>2</v>
      </c>
      <c r="AH129">
        <v>40</v>
      </c>
      <c r="AI129">
        <v>4</v>
      </c>
      <c r="AJ129">
        <v>40</v>
      </c>
      <c r="AK129">
        <v>2</v>
      </c>
      <c r="AL129">
        <v>40</v>
      </c>
      <c r="AN129">
        <v>400</v>
      </c>
      <c r="AO129">
        <v>400</v>
      </c>
      <c r="AP129" t="s">
        <v>57</v>
      </c>
      <c r="AQ129" s="30" t="s">
        <v>203</v>
      </c>
      <c r="AR129">
        <v>19.100000000000001</v>
      </c>
      <c r="AS129">
        <v>287</v>
      </c>
      <c r="AT129">
        <f>9308*9.8/100</f>
        <v>912.18400000000008</v>
      </c>
      <c r="AU129">
        <f>1890*9.8/100</f>
        <v>185.22</v>
      </c>
      <c r="AV129" t="s">
        <v>181</v>
      </c>
      <c r="AW129">
        <v>50</v>
      </c>
      <c r="AX129">
        <v>2</v>
      </c>
      <c r="AY129">
        <v>6.4</v>
      </c>
      <c r="AZ129">
        <v>32</v>
      </c>
      <c r="BA129">
        <v>1431</v>
      </c>
      <c r="BB129">
        <v>207</v>
      </c>
      <c r="BC129">
        <v>5</v>
      </c>
      <c r="BD129">
        <v>40</v>
      </c>
      <c r="BE129">
        <v>2</v>
      </c>
      <c r="BF129">
        <v>80</v>
      </c>
      <c r="BG129">
        <v>5</v>
      </c>
      <c r="BH129">
        <v>40</v>
      </c>
      <c r="BI129">
        <v>2</v>
      </c>
      <c r="BJ129">
        <v>80</v>
      </c>
      <c r="BL129" s="30">
        <v>2</v>
      </c>
      <c r="BM129" t="s">
        <v>166</v>
      </c>
      <c r="BN129" t="s">
        <v>774</v>
      </c>
      <c r="BP129" s="30">
        <v>30</v>
      </c>
      <c r="BQ129">
        <v>8</v>
      </c>
      <c r="BR129">
        <v>16</v>
      </c>
      <c r="BS129">
        <v>1431</v>
      </c>
      <c r="BT129">
        <v>207</v>
      </c>
    </row>
    <row r="130" spans="1:73">
      <c r="A130">
        <v>125</v>
      </c>
      <c r="B130" s="1">
        <v>1</v>
      </c>
      <c r="G130" t="s">
        <v>160</v>
      </c>
      <c r="H130" s="1" t="s">
        <v>105</v>
      </c>
      <c r="I130">
        <f t="shared" ref="I130:K132" si="78">818*9.8/100</f>
        <v>80.164000000000001</v>
      </c>
      <c r="J130">
        <f t="shared" si="78"/>
        <v>80.164000000000001</v>
      </c>
      <c r="K130">
        <f t="shared" si="78"/>
        <v>80.164000000000001</v>
      </c>
      <c r="L130">
        <v>3000</v>
      </c>
      <c r="M130">
        <v>2000</v>
      </c>
      <c r="N130">
        <v>0</v>
      </c>
      <c r="O130">
        <f t="shared" si="77"/>
        <v>784</v>
      </c>
      <c r="P130">
        <v>300</v>
      </c>
      <c r="Q130">
        <v>400</v>
      </c>
      <c r="R130" t="s">
        <v>57</v>
      </c>
      <c r="S130" s="30" t="s">
        <v>196</v>
      </c>
      <c r="T130">
        <v>19.100000000000001</v>
      </c>
      <c r="U130">
        <v>287</v>
      </c>
      <c r="V130" s="1">
        <f>6050*9.8/100</f>
        <v>592.90000000000009</v>
      </c>
      <c r="W130" s="1">
        <f>2120*9.8/100</f>
        <v>207.76</v>
      </c>
      <c r="X130" t="s">
        <v>181</v>
      </c>
      <c r="Y130">
        <v>50</v>
      </c>
      <c r="Z130">
        <v>2</v>
      </c>
      <c r="AA130">
        <v>6.4</v>
      </c>
      <c r="AB130">
        <v>32</v>
      </c>
      <c r="AC130">
        <v>1431</v>
      </c>
      <c r="AD130">
        <v>207</v>
      </c>
      <c r="AE130">
        <v>4</v>
      </c>
      <c r="AF130">
        <v>40</v>
      </c>
      <c r="AG130">
        <v>2</v>
      </c>
      <c r="AH130">
        <v>40</v>
      </c>
      <c r="AI130">
        <v>4</v>
      </c>
      <c r="AJ130">
        <v>40</v>
      </c>
      <c r="AK130">
        <v>2</v>
      </c>
      <c r="AL130">
        <v>40</v>
      </c>
      <c r="AN130">
        <v>400</v>
      </c>
      <c r="AO130">
        <v>400</v>
      </c>
      <c r="AP130" t="s">
        <v>57</v>
      </c>
      <c r="AQ130" s="30" t="s">
        <v>196</v>
      </c>
      <c r="AR130">
        <v>19.100000000000001</v>
      </c>
      <c r="AS130">
        <v>287</v>
      </c>
      <c r="AT130">
        <f>6050*9.8/100</f>
        <v>592.90000000000009</v>
      </c>
      <c r="AU130">
        <f>2120*9.8/100</f>
        <v>207.76</v>
      </c>
      <c r="AV130" t="s">
        <v>181</v>
      </c>
      <c r="AW130">
        <v>50</v>
      </c>
      <c r="AX130">
        <v>2</v>
      </c>
      <c r="AY130">
        <v>6.4</v>
      </c>
      <c r="AZ130">
        <v>32</v>
      </c>
      <c r="BA130">
        <v>1431</v>
      </c>
      <c r="BB130">
        <v>207</v>
      </c>
      <c r="BC130">
        <v>5</v>
      </c>
      <c r="BD130">
        <v>40</v>
      </c>
      <c r="BE130">
        <v>2</v>
      </c>
      <c r="BF130">
        <v>80</v>
      </c>
      <c r="BG130">
        <v>5</v>
      </c>
      <c r="BH130">
        <v>40</v>
      </c>
      <c r="BI130">
        <v>2</v>
      </c>
      <c r="BJ130">
        <v>80</v>
      </c>
      <c r="BL130" s="30">
        <v>2</v>
      </c>
      <c r="BM130" t="s">
        <v>166</v>
      </c>
      <c r="BN130" t="s">
        <v>181</v>
      </c>
      <c r="BP130" s="30">
        <v>30</v>
      </c>
      <c r="BQ130">
        <v>8</v>
      </c>
      <c r="BR130">
        <v>16</v>
      </c>
      <c r="BS130">
        <v>1431</v>
      </c>
      <c r="BT130">
        <v>207</v>
      </c>
    </row>
    <row r="131" spans="1:73">
      <c r="A131">
        <v>126</v>
      </c>
      <c r="B131" s="1">
        <v>1</v>
      </c>
      <c r="G131" t="s">
        <v>160</v>
      </c>
      <c r="H131" s="1" t="s">
        <v>106</v>
      </c>
      <c r="I131">
        <f t="shared" si="78"/>
        <v>80.164000000000001</v>
      </c>
      <c r="J131">
        <f t="shared" si="78"/>
        <v>80.164000000000001</v>
      </c>
      <c r="K131">
        <f t="shared" si="78"/>
        <v>80.164000000000001</v>
      </c>
      <c r="L131">
        <v>3000</v>
      </c>
      <c r="M131">
        <v>2000</v>
      </c>
      <c r="N131">
        <v>0</v>
      </c>
      <c r="O131">
        <f t="shared" si="77"/>
        <v>784</v>
      </c>
      <c r="P131">
        <v>300</v>
      </c>
      <c r="Q131">
        <v>400</v>
      </c>
      <c r="R131" t="s">
        <v>57</v>
      </c>
      <c r="S131" s="30" t="s">
        <v>196</v>
      </c>
      <c r="T131">
        <v>19.100000000000001</v>
      </c>
      <c r="U131">
        <v>287</v>
      </c>
      <c r="V131" s="1">
        <f>6050*9.8/100</f>
        <v>592.90000000000009</v>
      </c>
      <c r="W131" s="1">
        <f>2120*9.8/100</f>
        <v>207.76</v>
      </c>
      <c r="X131" t="s">
        <v>181</v>
      </c>
      <c r="Y131">
        <v>50</v>
      </c>
      <c r="Z131">
        <v>2</v>
      </c>
      <c r="AA131">
        <v>6.4</v>
      </c>
      <c r="AB131">
        <v>32</v>
      </c>
      <c r="AC131">
        <v>1431</v>
      </c>
      <c r="AD131">
        <v>207</v>
      </c>
      <c r="AE131">
        <v>4</v>
      </c>
      <c r="AF131">
        <v>40</v>
      </c>
      <c r="AG131">
        <v>4</v>
      </c>
      <c r="AH131">
        <v>40</v>
      </c>
      <c r="AI131">
        <v>4</v>
      </c>
      <c r="AJ131">
        <v>40</v>
      </c>
      <c r="AK131">
        <v>4</v>
      </c>
      <c r="AL131">
        <v>40</v>
      </c>
      <c r="AN131">
        <v>400</v>
      </c>
      <c r="AO131">
        <v>400</v>
      </c>
      <c r="AP131" t="s">
        <v>57</v>
      </c>
      <c r="AQ131" s="30" t="s">
        <v>196</v>
      </c>
      <c r="AR131">
        <v>19.100000000000001</v>
      </c>
      <c r="AS131">
        <v>287</v>
      </c>
      <c r="AT131">
        <f>6050*9.8/100</f>
        <v>592.90000000000009</v>
      </c>
      <c r="AU131">
        <f>2120*9.8/100</f>
        <v>207.76</v>
      </c>
      <c r="AV131" t="s">
        <v>181</v>
      </c>
      <c r="AW131">
        <v>50</v>
      </c>
      <c r="AX131">
        <v>2</v>
      </c>
      <c r="AY131">
        <v>6.4</v>
      </c>
      <c r="AZ131">
        <v>32</v>
      </c>
      <c r="BA131">
        <v>1431</v>
      </c>
      <c r="BB131">
        <v>207</v>
      </c>
      <c r="BC131">
        <v>5</v>
      </c>
      <c r="BD131">
        <v>40</v>
      </c>
      <c r="BE131">
        <v>2</v>
      </c>
      <c r="BF131">
        <v>80</v>
      </c>
      <c r="BG131">
        <v>5</v>
      </c>
      <c r="BH131">
        <v>40</v>
      </c>
      <c r="BI131">
        <v>2</v>
      </c>
      <c r="BJ131">
        <v>80</v>
      </c>
      <c r="BL131" s="30">
        <v>2</v>
      </c>
      <c r="BM131" t="s">
        <v>166</v>
      </c>
      <c r="BN131" t="s">
        <v>181</v>
      </c>
      <c r="BP131" s="30">
        <v>30</v>
      </c>
      <c r="BQ131">
        <v>8</v>
      </c>
      <c r="BR131">
        <v>16</v>
      </c>
      <c r="BS131">
        <v>1431</v>
      </c>
      <c r="BT131">
        <v>207</v>
      </c>
    </row>
    <row r="132" spans="1:73">
      <c r="A132">
        <v>127</v>
      </c>
      <c r="B132" s="1">
        <v>1</v>
      </c>
      <c r="G132" t="s">
        <v>160</v>
      </c>
      <c r="H132" s="1" t="s">
        <v>107</v>
      </c>
      <c r="I132">
        <f t="shared" si="78"/>
        <v>80.164000000000001</v>
      </c>
      <c r="J132">
        <f t="shared" si="78"/>
        <v>80.164000000000001</v>
      </c>
      <c r="K132">
        <f t="shared" si="78"/>
        <v>80.164000000000001</v>
      </c>
      <c r="L132">
        <v>3000</v>
      </c>
      <c r="M132">
        <v>2000</v>
      </c>
      <c r="N132">
        <v>0</v>
      </c>
      <c r="O132">
        <f t="shared" si="77"/>
        <v>784</v>
      </c>
      <c r="P132">
        <v>300</v>
      </c>
      <c r="Q132">
        <v>400</v>
      </c>
      <c r="R132" t="s">
        <v>57</v>
      </c>
      <c r="S132" s="30" t="s">
        <v>203</v>
      </c>
      <c r="T132">
        <v>19.100000000000001</v>
      </c>
      <c r="U132">
        <v>287</v>
      </c>
      <c r="V132" s="1">
        <f>9308*9.8/100</f>
        <v>912.18400000000008</v>
      </c>
      <c r="W132" s="1">
        <f>1890*9.8/100</f>
        <v>185.22</v>
      </c>
      <c r="X132" t="s">
        <v>181</v>
      </c>
      <c r="Y132">
        <v>50</v>
      </c>
      <c r="Z132">
        <v>2</v>
      </c>
      <c r="AA132">
        <v>6.4</v>
      </c>
      <c r="AB132">
        <v>32</v>
      </c>
      <c r="AC132">
        <v>1431</v>
      </c>
      <c r="AD132">
        <v>207</v>
      </c>
      <c r="AE132">
        <v>4</v>
      </c>
      <c r="AF132">
        <v>40</v>
      </c>
      <c r="AG132">
        <v>2</v>
      </c>
      <c r="AH132">
        <v>40</v>
      </c>
      <c r="AI132">
        <v>4</v>
      </c>
      <c r="AJ132">
        <v>40</v>
      </c>
      <c r="AK132">
        <v>2</v>
      </c>
      <c r="AL132">
        <v>40</v>
      </c>
      <c r="AN132">
        <v>400</v>
      </c>
      <c r="AO132">
        <v>400</v>
      </c>
      <c r="AP132" t="s">
        <v>57</v>
      </c>
      <c r="AQ132" s="30" t="s">
        <v>203</v>
      </c>
      <c r="AR132">
        <v>19.100000000000001</v>
      </c>
      <c r="AS132">
        <v>287</v>
      </c>
      <c r="AT132">
        <f>9308*9.8/100</f>
        <v>912.18400000000008</v>
      </c>
      <c r="AU132">
        <f>1890*9.8/100</f>
        <v>185.22</v>
      </c>
      <c r="AV132" t="s">
        <v>181</v>
      </c>
      <c r="AW132">
        <v>50</v>
      </c>
      <c r="AX132">
        <v>2</v>
      </c>
      <c r="AY132">
        <v>6.4</v>
      </c>
      <c r="AZ132">
        <v>32</v>
      </c>
      <c r="BA132">
        <v>1431</v>
      </c>
      <c r="BB132">
        <v>207</v>
      </c>
      <c r="BC132">
        <v>5</v>
      </c>
      <c r="BD132">
        <v>40</v>
      </c>
      <c r="BE132">
        <v>2</v>
      </c>
      <c r="BF132">
        <v>80</v>
      </c>
      <c r="BG132">
        <v>5</v>
      </c>
      <c r="BH132">
        <v>40</v>
      </c>
      <c r="BI132">
        <v>2</v>
      </c>
      <c r="BJ132">
        <v>80</v>
      </c>
      <c r="BL132" s="30">
        <v>2</v>
      </c>
      <c r="BM132" t="s">
        <v>166</v>
      </c>
      <c r="BN132" t="s">
        <v>181</v>
      </c>
      <c r="BP132" s="30">
        <v>30</v>
      </c>
      <c r="BQ132">
        <v>8</v>
      </c>
      <c r="BR132">
        <v>16</v>
      </c>
      <c r="BS132">
        <v>1431</v>
      </c>
      <c r="BT132">
        <v>207</v>
      </c>
    </row>
    <row r="133" spans="1:73">
      <c r="A133">
        <v>128</v>
      </c>
      <c r="B133" s="1">
        <v>1</v>
      </c>
      <c r="G133" t="s">
        <v>160</v>
      </c>
      <c r="H133" s="1" t="s">
        <v>108</v>
      </c>
      <c r="I133">
        <f t="shared" ref="I133:K135" si="79">1039*9.8/100</f>
        <v>101.822</v>
      </c>
      <c r="J133">
        <f t="shared" si="79"/>
        <v>101.822</v>
      </c>
      <c r="K133">
        <f t="shared" si="79"/>
        <v>101.822</v>
      </c>
      <c r="L133">
        <v>3000</v>
      </c>
      <c r="M133">
        <v>2000</v>
      </c>
      <c r="N133">
        <v>0</v>
      </c>
      <c r="O133">
        <f t="shared" si="77"/>
        <v>784</v>
      </c>
      <c r="P133">
        <v>300</v>
      </c>
      <c r="Q133">
        <v>400</v>
      </c>
      <c r="R133" t="s">
        <v>57</v>
      </c>
      <c r="S133" s="30" t="s">
        <v>177</v>
      </c>
      <c r="T133">
        <v>19.100000000000001</v>
      </c>
      <c r="U133">
        <v>287</v>
      </c>
      <c r="V133" s="1">
        <f>7405*9.8/100</f>
        <v>725.69</v>
      </c>
      <c r="W133" s="1">
        <f>2030*9.8/100</f>
        <v>198.94</v>
      </c>
      <c r="X133" t="s">
        <v>181</v>
      </c>
      <c r="Y133">
        <v>50</v>
      </c>
      <c r="Z133">
        <v>2</v>
      </c>
      <c r="AA133">
        <v>6.4</v>
      </c>
      <c r="AB133">
        <v>32</v>
      </c>
      <c r="AC133">
        <v>1431</v>
      </c>
      <c r="AD133">
        <v>207</v>
      </c>
      <c r="AE133">
        <v>4</v>
      </c>
      <c r="AF133">
        <v>40</v>
      </c>
      <c r="AG133">
        <v>2</v>
      </c>
      <c r="AH133">
        <v>40</v>
      </c>
      <c r="AI133">
        <v>4</v>
      </c>
      <c r="AJ133">
        <v>40</v>
      </c>
      <c r="AK133">
        <v>2</v>
      </c>
      <c r="AL133">
        <v>40</v>
      </c>
      <c r="AN133">
        <v>400</v>
      </c>
      <c r="AO133">
        <v>400</v>
      </c>
      <c r="AP133" t="s">
        <v>57</v>
      </c>
      <c r="AQ133" s="30" t="s">
        <v>177</v>
      </c>
      <c r="AR133">
        <v>19.100000000000001</v>
      </c>
      <c r="AS133">
        <v>287</v>
      </c>
      <c r="AT133">
        <f>7405*9.8/100</f>
        <v>725.69</v>
      </c>
      <c r="AU133">
        <f>2030*9.8/100</f>
        <v>198.94</v>
      </c>
      <c r="AV133" t="s">
        <v>181</v>
      </c>
      <c r="AW133">
        <v>50</v>
      </c>
      <c r="AX133">
        <v>2</v>
      </c>
      <c r="AY133">
        <v>6.4</v>
      </c>
      <c r="AZ133">
        <v>32</v>
      </c>
      <c r="BA133">
        <v>1431</v>
      </c>
      <c r="BB133">
        <v>207</v>
      </c>
      <c r="BC133">
        <v>5</v>
      </c>
      <c r="BD133">
        <v>40</v>
      </c>
      <c r="BE133">
        <v>2</v>
      </c>
      <c r="BF133">
        <v>80</v>
      </c>
      <c r="BG133">
        <v>5</v>
      </c>
      <c r="BH133">
        <v>40</v>
      </c>
      <c r="BI133">
        <v>2</v>
      </c>
      <c r="BJ133">
        <v>80</v>
      </c>
      <c r="BL133" s="30">
        <v>2</v>
      </c>
      <c r="BM133" t="s">
        <v>166</v>
      </c>
      <c r="BN133" t="s">
        <v>181</v>
      </c>
      <c r="BP133" s="30">
        <v>30</v>
      </c>
      <c r="BQ133">
        <v>8</v>
      </c>
      <c r="BR133">
        <v>16</v>
      </c>
      <c r="BS133">
        <v>1431</v>
      </c>
      <c r="BT133">
        <v>207</v>
      </c>
    </row>
    <row r="134" spans="1:73">
      <c r="A134">
        <v>129</v>
      </c>
      <c r="B134" s="1">
        <v>1</v>
      </c>
      <c r="G134" t="s">
        <v>160</v>
      </c>
      <c r="H134" s="1" t="s">
        <v>204</v>
      </c>
      <c r="I134">
        <f t="shared" si="79"/>
        <v>101.822</v>
      </c>
      <c r="J134">
        <f t="shared" si="79"/>
        <v>101.822</v>
      </c>
      <c r="K134">
        <f t="shared" si="79"/>
        <v>101.822</v>
      </c>
      <c r="L134">
        <v>3000</v>
      </c>
      <c r="M134">
        <v>2000</v>
      </c>
      <c r="N134">
        <v>0</v>
      </c>
      <c r="O134">
        <f t="shared" si="77"/>
        <v>784</v>
      </c>
      <c r="P134">
        <v>300</v>
      </c>
      <c r="Q134">
        <v>400</v>
      </c>
      <c r="R134" t="s">
        <v>57</v>
      </c>
      <c r="S134" s="30" t="s">
        <v>203</v>
      </c>
      <c r="T134">
        <v>19.100000000000001</v>
      </c>
      <c r="U134">
        <v>287</v>
      </c>
      <c r="V134" s="1">
        <f>9308*9.8/100</f>
        <v>912.18400000000008</v>
      </c>
      <c r="W134" s="1">
        <f>1890*9.8/100</f>
        <v>185.22</v>
      </c>
      <c r="X134" t="s">
        <v>181</v>
      </c>
      <c r="Y134">
        <v>50</v>
      </c>
      <c r="Z134">
        <v>2</v>
      </c>
      <c r="AA134">
        <v>6.4</v>
      </c>
      <c r="AB134">
        <v>32</v>
      </c>
      <c r="AC134">
        <v>1431</v>
      </c>
      <c r="AD134">
        <v>207</v>
      </c>
      <c r="AE134">
        <v>4</v>
      </c>
      <c r="AF134">
        <v>40</v>
      </c>
      <c r="AG134">
        <v>2</v>
      </c>
      <c r="AH134">
        <v>40</v>
      </c>
      <c r="AI134">
        <v>4</v>
      </c>
      <c r="AJ134">
        <v>40</v>
      </c>
      <c r="AK134">
        <v>2</v>
      </c>
      <c r="AL134">
        <v>40</v>
      </c>
      <c r="AN134">
        <v>400</v>
      </c>
      <c r="AO134">
        <v>400</v>
      </c>
      <c r="AP134" t="s">
        <v>57</v>
      </c>
      <c r="AQ134" s="30" t="s">
        <v>203</v>
      </c>
      <c r="AR134">
        <v>19.100000000000001</v>
      </c>
      <c r="AS134">
        <v>287</v>
      </c>
      <c r="AT134">
        <f>9308*9.8/100</f>
        <v>912.18400000000008</v>
      </c>
      <c r="AU134">
        <f>1890*9.8/100</f>
        <v>185.22</v>
      </c>
      <c r="AV134" t="s">
        <v>181</v>
      </c>
      <c r="AW134">
        <v>50</v>
      </c>
      <c r="AX134">
        <v>2</v>
      </c>
      <c r="AY134">
        <v>6.4</v>
      </c>
      <c r="AZ134">
        <v>32</v>
      </c>
      <c r="BA134">
        <v>1431</v>
      </c>
      <c r="BB134">
        <v>207</v>
      </c>
      <c r="BC134">
        <v>5</v>
      </c>
      <c r="BD134">
        <v>40</v>
      </c>
      <c r="BE134">
        <v>2</v>
      </c>
      <c r="BF134">
        <v>80</v>
      </c>
      <c r="BG134">
        <v>5</v>
      </c>
      <c r="BH134">
        <v>40</v>
      </c>
      <c r="BI134">
        <v>2</v>
      </c>
      <c r="BJ134">
        <v>80</v>
      </c>
      <c r="BL134" s="30">
        <v>2</v>
      </c>
      <c r="BM134" t="s">
        <v>166</v>
      </c>
      <c r="BN134" t="s">
        <v>181</v>
      </c>
      <c r="BP134" s="30">
        <v>30</v>
      </c>
      <c r="BQ134">
        <v>8</v>
      </c>
      <c r="BR134">
        <v>16</v>
      </c>
      <c r="BS134">
        <v>1431</v>
      </c>
      <c r="BT134">
        <v>207</v>
      </c>
    </row>
    <row r="135" spans="1:73" s="3" customFormat="1">
      <c r="A135">
        <v>130</v>
      </c>
      <c r="B135" s="1">
        <v>1</v>
      </c>
      <c r="G135" s="3" t="s">
        <v>160</v>
      </c>
      <c r="H135" s="4" t="s">
        <v>205</v>
      </c>
      <c r="I135" s="3">
        <f t="shared" si="79"/>
        <v>101.822</v>
      </c>
      <c r="J135" s="3">
        <f t="shared" si="79"/>
        <v>101.822</v>
      </c>
      <c r="K135" s="3">
        <f t="shared" si="79"/>
        <v>101.822</v>
      </c>
      <c r="L135" s="3">
        <v>3000</v>
      </c>
      <c r="M135" s="3">
        <v>2000</v>
      </c>
      <c r="N135" s="3">
        <v>0</v>
      </c>
      <c r="O135" s="3">
        <v>0</v>
      </c>
      <c r="P135" s="3">
        <v>300</v>
      </c>
      <c r="Q135" s="3">
        <v>400</v>
      </c>
      <c r="R135" s="3" t="s">
        <v>57</v>
      </c>
      <c r="S135" s="9" t="s">
        <v>203</v>
      </c>
      <c r="T135" s="3">
        <v>19.100000000000001</v>
      </c>
      <c r="U135" s="3">
        <v>287</v>
      </c>
      <c r="V135" s="4">
        <f>9308*9.8/100</f>
        <v>912.18400000000008</v>
      </c>
      <c r="W135" s="4">
        <f>1890*9.8/100</f>
        <v>185.22</v>
      </c>
      <c r="X135" s="3" t="s">
        <v>181</v>
      </c>
      <c r="Y135" s="3">
        <v>50</v>
      </c>
      <c r="Z135" s="3">
        <v>2</v>
      </c>
      <c r="AA135" s="3">
        <v>6.4</v>
      </c>
      <c r="AB135" s="3">
        <v>32</v>
      </c>
      <c r="AC135" s="3">
        <v>1431</v>
      </c>
      <c r="AD135" s="3">
        <v>207</v>
      </c>
      <c r="AE135" s="3">
        <v>4</v>
      </c>
      <c r="AF135" s="3">
        <v>40</v>
      </c>
      <c r="AG135" s="3">
        <v>4</v>
      </c>
      <c r="AH135" s="3">
        <v>40</v>
      </c>
      <c r="AI135" s="3">
        <v>4</v>
      </c>
      <c r="AJ135" s="3">
        <v>40</v>
      </c>
      <c r="AK135" s="3">
        <v>4</v>
      </c>
      <c r="AL135" s="3">
        <v>40</v>
      </c>
      <c r="AM135" s="9"/>
      <c r="AN135" s="3">
        <v>400</v>
      </c>
      <c r="AO135" s="3">
        <v>400</v>
      </c>
      <c r="AP135" s="3" t="s">
        <v>57</v>
      </c>
      <c r="AQ135" s="9" t="s">
        <v>203</v>
      </c>
      <c r="AR135" s="3">
        <v>19.100000000000001</v>
      </c>
      <c r="AS135" s="3">
        <v>287</v>
      </c>
      <c r="AT135" s="3">
        <f>9308*9.8/100</f>
        <v>912.18400000000008</v>
      </c>
      <c r="AU135" s="3">
        <f>1890*9.8/100</f>
        <v>185.22</v>
      </c>
      <c r="AV135" s="3" t="s">
        <v>181</v>
      </c>
      <c r="AW135" s="3">
        <v>50</v>
      </c>
      <c r="AX135" s="3">
        <v>2</v>
      </c>
      <c r="AY135" s="3">
        <v>6.4</v>
      </c>
      <c r="AZ135" s="3">
        <v>32</v>
      </c>
      <c r="BA135" s="3">
        <v>1431</v>
      </c>
      <c r="BB135" s="3">
        <v>207</v>
      </c>
      <c r="BC135" s="3">
        <v>5</v>
      </c>
      <c r="BD135" s="3">
        <v>40</v>
      </c>
      <c r="BE135" s="3">
        <v>2</v>
      </c>
      <c r="BF135" s="3">
        <v>80</v>
      </c>
      <c r="BG135" s="3">
        <v>5</v>
      </c>
      <c r="BH135" s="3">
        <v>40</v>
      </c>
      <c r="BI135" s="3">
        <v>2</v>
      </c>
      <c r="BJ135" s="3">
        <v>80</v>
      </c>
      <c r="BK135" s="9"/>
      <c r="BL135" s="9">
        <v>2</v>
      </c>
      <c r="BM135" s="3" t="s">
        <v>166</v>
      </c>
      <c r="BN135" t="s">
        <v>181</v>
      </c>
      <c r="BO135" s="9"/>
      <c r="BP135" s="9">
        <v>30</v>
      </c>
      <c r="BQ135" s="3">
        <v>8</v>
      </c>
      <c r="BR135" s="3">
        <v>16</v>
      </c>
      <c r="BS135" s="3">
        <v>1431</v>
      </c>
      <c r="BT135" s="3">
        <v>207</v>
      </c>
      <c r="BU135" s="84"/>
    </row>
    <row r="136" spans="1:73" s="12" customFormat="1">
      <c r="A136">
        <v>131</v>
      </c>
      <c r="B136" s="1">
        <v>1</v>
      </c>
      <c r="C136" s="12">
        <v>34</v>
      </c>
      <c r="D136" s="12" t="s">
        <v>60</v>
      </c>
      <c r="E136" s="12">
        <v>1991</v>
      </c>
      <c r="F136" s="12" t="s">
        <v>27</v>
      </c>
      <c r="G136" s="13" t="s">
        <v>562</v>
      </c>
      <c r="H136" s="7" t="s">
        <v>560</v>
      </c>
      <c r="I136" s="12">
        <f t="shared" ref="I136:K137" si="80">400*9.8/100</f>
        <v>39.200000000000003</v>
      </c>
      <c r="J136" s="12">
        <f t="shared" si="80"/>
        <v>39.200000000000003</v>
      </c>
      <c r="K136" s="12">
        <f t="shared" si="80"/>
        <v>39.200000000000003</v>
      </c>
      <c r="L136" s="13">
        <v>2860</v>
      </c>
      <c r="M136" s="13">
        <v>1400</v>
      </c>
      <c r="N136" s="12">
        <v>0</v>
      </c>
      <c r="O136" s="13">
        <f>43.2*9.8</f>
        <v>423.36000000000007</v>
      </c>
      <c r="P136" s="12">
        <v>240</v>
      </c>
      <c r="Q136" s="12">
        <v>300</v>
      </c>
      <c r="R136" s="12" t="s">
        <v>564</v>
      </c>
      <c r="S136" s="30" t="s">
        <v>566</v>
      </c>
      <c r="T136" s="12">
        <v>12.7</v>
      </c>
      <c r="U136" s="12">
        <v>127</v>
      </c>
      <c r="V136" s="12">
        <f>7001*9.8/100</f>
        <v>686.09800000000007</v>
      </c>
      <c r="W136" s="39">
        <v>205</v>
      </c>
      <c r="X136" s="12" t="s">
        <v>568</v>
      </c>
      <c r="Y136" s="12">
        <v>50</v>
      </c>
      <c r="Z136" s="12">
        <v>2</v>
      </c>
      <c r="AA136" s="12">
        <v>6.35</v>
      </c>
      <c r="AB136" s="12">
        <v>31.7</v>
      </c>
      <c r="AC136" s="12">
        <f>8097*9.8/100</f>
        <v>793.50600000000009</v>
      </c>
      <c r="AD136" s="39">
        <v>205</v>
      </c>
      <c r="AE136" s="12">
        <v>5</v>
      </c>
      <c r="AF136" s="12">
        <v>30</v>
      </c>
      <c r="AG136" s="12">
        <v>4</v>
      </c>
      <c r="AH136" s="12">
        <v>50</v>
      </c>
      <c r="AI136" s="12">
        <v>5</v>
      </c>
      <c r="AJ136" s="12">
        <v>30</v>
      </c>
      <c r="AK136" s="12">
        <v>2</v>
      </c>
      <c r="AL136" s="12">
        <v>50</v>
      </c>
      <c r="AM136" s="30"/>
      <c r="AN136" s="12">
        <v>300</v>
      </c>
      <c r="AO136" s="12">
        <v>300</v>
      </c>
      <c r="AP136" s="12" t="s">
        <v>570</v>
      </c>
      <c r="AQ136" s="30" t="s">
        <v>566</v>
      </c>
      <c r="AR136" s="12">
        <v>12.7</v>
      </c>
      <c r="AS136" s="12">
        <v>127</v>
      </c>
      <c r="AT136" s="12">
        <f>7001*9.8/100</f>
        <v>686.09800000000007</v>
      </c>
      <c r="AU136" s="39">
        <v>205</v>
      </c>
      <c r="AV136" s="12" t="s">
        <v>569</v>
      </c>
      <c r="AW136" s="12">
        <v>50</v>
      </c>
      <c r="AX136" s="12">
        <v>2</v>
      </c>
      <c r="AY136" s="12">
        <v>6.35</v>
      </c>
      <c r="AZ136" s="12">
        <v>31.7</v>
      </c>
      <c r="BA136" s="12">
        <f>8097*9.8/100</f>
        <v>793.50600000000009</v>
      </c>
      <c r="BB136" s="39">
        <v>205</v>
      </c>
      <c r="BC136" s="12">
        <v>8</v>
      </c>
      <c r="BD136" s="12">
        <v>30</v>
      </c>
      <c r="BE136" s="12">
        <v>2</v>
      </c>
      <c r="BF136" s="12">
        <v>60</v>
      </c>
      <c r="BG136" s="12">
        <v>8</v>
      </c>
      <c r="BH136" s="12">
        <v>30</v>
      </c>
      <c r="BI136" s="12">
        <v>2</v>
      </c>
      <c r="BJ136" s="12">
        <v>60</v>
      </c>
      <c r="BK136" s="30"/>
      <c r="BL136" s="30">
        <v>4</v>
      </c>
      <c r="BM136" s="12" t="s">
        <v>443</v>
      </c>
      <c r="BN136" s="12" t="s">
        <v>698</v>
      </c>
      <c r="BO136" s="30"/>
      <c r="BP136" s="30">
        <v>31.7</v>
      </c>
      <c r="BQ136" s="12">
        <v>5</v>
      </c>
      <c r="BR136" s="12">
        <v>10</v>
      </c>
      <c r="BS136" s="12">
        <f>8097*9.8/100</f>
        <v>793.50600000000009</v>
      </c>
      <c r="BT136" s="39">
        <v>205</v>
      </c>
      <c r="BU136" s="80"/>
    </row>
    <row r="137" spans="1:73" s="12" customFormat="1">
      <c r="A137">
        <v>132</v>
      </c>
      <c r="B137" s="1">
        <v>1</v>
      </c>
      <c r="G137" s="13" t="s">
        <v>563</v>
      </c>
      <c r="H137" s="7" t="s">
        <v>561</v>
      </c>
      <c r="I137" s="12">
        <f t="shared" si="80"/>
        <v>39.200000000000003</v>
      </c>
      <c r="J137" s="12">
        <f t="shared" si="80"/>
        <v>39.200000000000003</v>
      </c>
      <c r="K137" s="12">
        <f t="shared" si="80"/>
        <v>39.200000000000003</v>
      </c>
      <c r="L137" s="12">
        <v>2860</v>
      </c>
      <c r="M137" s="12">
        <v>1400</v>
      </c>
      <c r="N137" s="12">
        <v>0</v>
      </c>
      <c r="O137" s="13">
        <f>43.2*9.8</f>
        <v>423.36000000000007</v>
      </c>
      <c r="P137" s="12">
        <v>240</v>
      </c>
      <c r="Q137" s="12">
        <v>300</v>
      </c>
      <c r="R137" s="12" t="s">
        <v>565</v>
      </c>
      <c r="S137" s="30" t="s">
        <v>567</v>
      </c>
      <c r="T137" s="12">
        <v>19.100000000000001</v>
      </c>
      <c r="U137" s="12">
        <v>287</v>
      </c>
      <c r="V137" s="12">
        <f>3726*9.8/100</f>
        <v>365.14800000000002</v>
      </c>
      <c r="W137" s="39">
        <v>205</v>
      </c>
      <c r="X137" s="12" t="s">
        <v>569</v>
      </c>
      <c r="Y137" s="12">
        <v>50</v>
      </c>
      <c r="Z137" s="12">
        <v>2</v>
      </c>
      <c r="AA137" s="12">
        <v>6.35</v>
      </c>
      <c r="AB137" s="12">
        <v>31.7</v>
      </c>
      <c r="AC137" s="12">
        <f>4087*9.8/100</f>
        <v>400.52600000000007</v>
      </c>
      <c r="AD137" s="39">
        <v>205</v>
      </c>
      <c r="AE137" s="12">
        <v>5</v>
      </c>
      <c r="AF137" s="12">
        <v>30</v>
      </c>
      <c r="AG137" s="12">
        <v>4</v>
      </c>
      <c r="AH137" s="12">
        <v>40</v>
      </c>
      <c r="AI137" s="12">
        <v>5</v>
      </c>
      <c r="AJ137" s="12">
        <v>30</v>
      </c>
      <c r="AK137" s="12">
        <v>2</v>
      </c>
      <c r="AL137" s="12">
        <v>40</v>
      </c>
      <c r="AM137" s="30"/>
      <c r="AN137" s="12">
        <v>300</v>
      </c>
      <c r="AO137" s="12">
        <v>300</v>
      </c>
      <c r="AP137" s="12" t="s">
        <v>571</v>
      </c>
      <c r="AQ137" s="30" t="s">
        <v>572</v>
      </c>
      <c r="AR137" s="12">
        <v>19.100000000000001</v>
      </c>
      <c r="AS137" s="12">
        <v>287</v>
      </c>
      <c r="AT137" s="12">
        <f>3726*9.8/100</f>
        <v>365.14800000000002</v>
      </c>
      <c r="AU137" s="39">
        <v>205</v>
      </c>
      <c r="AV137" s="12" t="s">
        <v>568</v>
      </c>
      <c r="AW137" s="12">
        <v>50</v>
      </c>
      <c r="AX137" s="12">
        <v>2</v>
      </c>
      <c r="AY137" s="12">
        <v>6.35</v>
      </c>
      <c r="AZ137" s="12">
        <v>31.7</v>
      </c>
      <c r="BA137" s="12">
        <f>3726*9.8/100</f>
        <v>365.14800000000002</v>
      </c>
      <c r="BB137" s="39">
        <v>205</v>
      </c>
      <c r="BC137" s="12">
        <v>8</v>
      </c>
      <c r="BD137" s="12">
        <v>30</v>
      </c>
      <c r="BE137" s="12">
        <v>2</v>
      </c>
      <c r="BF137" s="12">
        <v>60</v>
      </c>
      <c r="BG137" s="12">
        <v>8</v>
      </c>
      <c r="BH137" s="12">
        <v>30</v>
      </c>
      <c r="BI137" s="12">
        <v>2</v>
      </c>
      <c r="BJ137" s="12">
        <v>60</v>
      </c>
      <c r="BK137" s="30"/>
      <c r="BL137" s="30">
        <v>4</v>
      </c>
      <c r="BM137" s="12" t="s">
        <v>573</v>
      </c>
      <c r="BN137" s="12" t="s">
        <v>694</v>
      </c>
      <c r="BO137" s="30"/>
      <c r="BP137" s="30">
        <v>31.7</v>
      </c>
      <c r="BQ137" s="12">
        <v>5</v>
      </c>
      <c r="BR137" s="12">
        <v>10</v>
      </c>
      <c r="BS137" s="12">
        <f>4087*9.8/100</f>
        <v>400.52600000000007</v>
      </c>
      <c r="BT137" s="39">
        <v>205</v>
      </c>
      <c r="BU137" s="80"/>
    </row>
    <row r="138" spans="1:73" s="5" customFormat="1">
      <c r="A138">
        <v>133</v>
      </c>
      <c r="B138" s="1">
        <v>1</v>
      </c>
      <c r="C138" s="5">
        <v>35</v>
      </c>
      <c r="D138" s="5" t="s">
        <v>61</v>
      </c>
      <c r="E138" s="5">
        <v>1991</v>
      </c>
      <c r="F138" s="5" t="s">
        <v>27</v>
      </c>
      <c r="G138" s="5" t="s">
        <v>158</v>
      </c>
      <c r="H138" s="6" t="s">
        <v>206</v>
      </c>
      <c r="I138" s="5">
        <f t="shared" ref="I138:K143" si="81">415*9.8/100</f>
        <v>40.67</v>
      </c>
      <c r="J138" s="5">
        <f t="shared" si="81"/>
        <v>40.67</v>
      </c>
      <c r="K138" s="5">
        <f t="shared" si="81"/>
        <v>40.67</v>
      </c>
      <c r="L138" s="5">
        <v>2000</v>
      </c>
      <c r="M138" s="5">
        <v>1400</v>
      </c>
      <c r="N138" s="5">
        <v>0</v>
      </c>
      <c r="O138" s="5">
        <f t="shared" ref="O138:O143" si="82">40*9.8</f>
        <v>392</v>
      </c>
      <c r="P138" s="5">
        <v>180</v>
      </c>
      <c r="Q138" s="5">
        <v>250</v>
      </c>
      <c r="R138" s="5" t="s">
        <v>62</v>
      </c>
      <c r="S138" s="8" t="s">
        <v>63</v>
      </c>
      <c r="T138" s="5">
        <v>12.7</v>
      </c>
      <c r="U138" s="5">
        <v>127</v>
      </c>
      <c r="V138" s="6">
        <f t="shared" ref="V138:V143" si="83">3904*9.8/100</f>
        <v>382.59200000000004</v>
      </c>
      <c r="W138" s="6">
        <f t="shared" ref="W138:W143" si="84">1900*9.8/100</f>
        <v>186.2</v>
      </c>
      <c r="X138" s="5" t="s">
        <v>40</v>
      </c>
      <c r="Y138" s="5">
        <v>80</v>
      </c>
      <c r="Z138" s="5">
        <v>2</v>
      </c>
      <c r="AA138" s="5">
        <v>6.35</v>
      </c>
      <c r="AB138" s="5">
        <v>31.7</v>
      </c>
      <c r="AC138" s="5">
        <f t="shared" ref="AC138:AC143" si="85">3073*9.8/100</f>
        <v>301.154</v>
      </c>
      <c r="AD138" s="5">
        <f t="shared" ref="AD138:AD143" si="86">1780*9.8/100</f>
        <v>174.44</v>
      </c>
      <c r="AE138" s="5">
        <v>3</v>
      </c>
      <c r="AF138" s="5">
        <v>31</v>
      </c>
      <c r="AG138" s="5">
        <v>0</v>
      </c>
      <c r="AH138" s="5">
        <v>0</v>
      </c>
      <c r="AI138" s="5">
        <v>3</v>
      </c>
      <c r="AJ138" s="5">
        <v>31</v>
      </c>
      <c r="AK138" s="5">
        <v>0</v>
      </c>
      <c r="AL138" s="5">
        <v>0</v>
      </c>
      <c r="AM138" s="8"/>
      <c r="AN138" s="5">
        <v>250</v>
      </c>
      <c r="AO138" s="5">
        <v>250</v>
      </c>
      <c r="AP138" s="5" t="s">
        <v>39</v>
      </c>
      <c r="AQ138" s="8" t="s">
        <v>63</v>
      </c>
      <c r="AR138" s="5">
        <v>15.9</v>
      </c>
      <c r="AS138" s="5">
        <v>199</v>
      </c>
      <c r="AT138" s="5">
        <f t="shared" ref="AT138:AT143" si="87">3583*9.8/100</f>
        <v>351.13400000000001</v>
      </c>
      <c r="AU138" s="5">
        <f t="shared" ref="AU138:AU143" si="88">1920*9.8/100</f>
        <v>188.16</v>
      </c>
      <c r="AV138" s="5" t="s">
        <v>40</v>
      </c>
      <c r="AW138" s="5">
        <v>35</v>
      </c>
      <c r="AX138" s="5">
        <v>2</v>
      </c>
      <c r="AY138" s="5">
        <v>6.35</v>
      </c>
      <c r="AZ138" s="5">
        <v>31.7</v>
      </c>
      <c r="BA138" s="5">
        <f t="shared" ref="BA138:BA143" si="89">3073*9.8/100</f>
        <v>301.154</v>
      </c>
      <c r="BB138" s="5">
        <f t="shared" ref="BB138:BB143" si="90">1780*9.8/100</f>
        <v>174.44</v>
      </c>
      <c r="BC138" s="5">
        <v>5</v>
      </c>
      <c r="BD138" s="5">
        <v>36</v>
      </c>
      <c r="BE138" s="5">
        <v>2</v>
      </c>
      <c r="BF138" s="5">
        <v>55</v>
      </c>
      <c r="BG138" s="5">
        <v>5</v>
      </c>
      <c r="BH138" s="5">
        <v>36</v>
      </c>
      <c r="BI138" s="5">
        <v>2</v>
      </c>
      <c r="BJ138" s="5">
        <v>55</v>
      </c>
      <c r="BK138" s="8"/>
      <c r="BL138" s="8">
        <v>0</v>
      </c>
      <c r="BM138" s="5" t="s">
        <v>166</v>
      </c>
      <c r="BN138" s="5" t="s">
        <v>771</v>
      </c>
      <c r="BO138" s="8"/>
      <c r="BP138" s="8">
        <v>71.3</v>
      </c>
      <c r="BQ138" s="5">
        <v>3</v>
      </c>
      <c r="BR138" s="44">
        <v>6</v>
      </c>
      <c r="BS138" s="99">
        <v>374.94800000000004</v>
      </c>
      <c r="BT138" s="99">
        <v>176.4</v>
      </c>
      <c r="BU138" s="83"/>
    </row>
    <row r="139" spans="1:73">
      <c r="A139">
        <v>134</v>
      </c>
      <c r="B139" s="1">
        <v>1</v>
      </c>
      <c r="G139" t="s">
        <v>158</v>
      </c>
      <c r="H139" s="1" t="s">
        <v>207</v>
      </c>
      <c r="I139">
        <f t="shared" si="81"/>
        <v>40.67</v>
      </c>
      <c r="J139">
        <f t="shared" si="81"/>
        <v>40.67</v>
      </c>
      <c r="K139">
        <f t="shared" si="81"/>
        <v>40.67</v>
      </c>
      <c r="L139">
        <v>2000</v>
      </c>
      <c r="M139">
        <v>1400</v>
      </c>
      <c r="N139">
        <v>0</v>
      </c>
      <c r="O139">
        <f t="shared" si="82"/>
        <v>392</v>
      </c>
      <c r="P139">
        <v>180</v>
      </c>
      <c r="Q139">
        <v>250</v>
      </c>
      <c r="R139" t="s">
        <v>62</v>
      </c>
      <c r="S139" s="30" t="s">
        <v>63</v>
      </c>
      <c r="T139">
        <v>12.7</v>
      </c>
      <c r="U139">
        <v>127</v>
      </c>
      <c r="V139" s="1">
        <f t="shared" si="83"/>
        <v>382.59200000000004</v>
      </c>
      <c r="W139" s="1">
        <f t="shared" si="84"/>
        <v>186.2</v>
      </c>
      <c r="X139" t="s">
        <v>40</v>
      </c>
      <c r="Y139">
        <v>80</v>
      </c>
      <c r="Z139">
        <v>2</v>
      </c>
      <c r="AA139">
        <v>6.35</v>
      </c>
      <c r="AB139">
        <v>31.7</v>
      </c>
      <c r="AC139">
        <f t="shared" si="85"/>
        <v>301.154</v>
      </c>
      <c r="AD139">
        <f t="shared" si="86"/>
        <v>174.44</v>
      </c>
      <c r="AE139">
        <v>3</v>
      </c>
      <c r="AF139">
        <v>31</v>
      </c>
      <c r="AG139">
        <v>0</v>
      </c>
      <c r="AH139">
        <v>0</v>
      </c>
      <c r="AI139">
        <v>3</v>
      </c>
      <c r="AJ139">
        <v>31</v>
      </c>
      <c r="AK139">
        <v>0</v>
      </c>
      <c r="AL139">
        <v>0</v>
      </c>
      <c r="AN139">
        <v>250</v>
      </c>
      <c r="AO139">
        <v>250</v>
      </c>
      <c r="AP139" t="s">
        <v>39</v>
      </c>
      <c r="AQ139" s="30" t="s">
        <v>63</v>
      </c>
      <c r="AR139">
        <v>15.9</v>
      </c>
      <c r="AS139">
        <v>199</v>
      </c>
      <c r="AT139">
        <f t="shared" si="87"/>
        <v>351.13400000000001</v>
      </c>
      <c r="AU139">
        <f t="shared" si="88"/>
        <v>188.16</v>
      </c>
      <c r="AV139" t="s">
        <v>40</v>
      </c>
      <c r="AW139">
        <v>35</v>
      </c>
      <c r="AX139">
        <v>2</v>
      </c>
      <c r="AY139">
        <v>6.35</v>
      </c>
      <c r="AZ139">
        <v>31.7</v>
      </c>
      <c r="BA139">
        <f t="shared" si="89"/>
        <v>301.154</v>
      </c>
      <c r="BB139">
        <f t="shared" si="90"/>
        <v>174.44</v>
      </c>
      <c r="BC139">
        <v>5</v>
      </c>
      <c r="BD139">
        <v>36</v>
      </c>
      <c r="BE139">
        <v>2</v>
      </c>
      <c r="BF139">
        <v>55</v>
      </c>
      <c r="BG139">
        <v>5</v>
      </c>
      <c r="BH139">
        <v>36</v>
      </c>
      <c r="BI139">
        <v>2</v>
      </c>
      <c r="BJ139">
        <v>55</v>
      </c>
      <c r="BL139" s="30">
        <v>0</v>
      </c>
      <c r="BM139" t="s">
        <v>166</v>
      </c>
      <c r="BN139" s="7" t="s">
        <v>771</v>
      </c>
      <c r="BP139" s="30">
        <v>71.3</v>
      </c>
      <c r="BQ139">
        <v>3</v>
      </c>
      <c r="BR139" s="16">
        <v>6</v>
      </c>
      <c r="BS139" s="100">
        <v>374.94800000000004</v>
      </c>
      <c r="BT139" s="100">
        <v>176.4</v>
      </c>
    </row>
    <row r="140" spans="1:73">
      <c r="A140">
        <v>135</v>
      </c>
      <c r="B140" s="1">
        <v>1</v>
      </c>
      <c r="G140" t="s">
        <v>160</v>
      </c>
      <c r="H140" s="1" t="s">
        <v>208</v>
      </c>
      <c r="I140">
        <f t="shared" si="81"/>
        <v>40.67</v>
      </c>
      <c r="J140">
        <f t="shared" si="81"/>
        <v>40.67</v>
      </c>
      <c r="K140">
        <f t="shared" si="81"/>
        <v>40.67</v>
      </c>
      <c r="L140">
        <v>2000</v>
      </c>
      <c r="M140">
        <v>1400</v>
      </c>
      <c r="N140">
        <v>0</v>
      </c>
      <c r="O140">
        <f t="shared" si="82"/>
        <v>392</v>
      </c>
      <c r="P140">
        <v>180</v>
      </c>
      <c r="Q140">
        <v>250</v>
      </c>
      <c r="R140" t="s">
        <v>62</v>
      </c>
      <c r="S140" s="30" t="s">
        <v>63</v>
      </c>
      <c r="T140">
        <v>12.7</v>
      </c>
      <c r="U140">
        <v>127</v>
      </c>
      <c r="V140" s="1">
        <f t="shared" si="83"/>
        <v>382.59200000000004</v>
      </c>
      <c r="W140" s="1">
        <f t="shared" si="84"/>
        <v>186.2</v>
      </c>
      <c r="X140" t="s">
        <v>40</v>
      </c>
      <c r="Y140">
        <v>80</v>
      </c>
      <c r="Z140">
        <v>2</v>
      </c>
      <c r="AA140">
        <v>6.35</v>
      </c>
      <c r="AB140" s="17">
        <v>31.7</v>
      </c>
      <c r="AC140">
        <f t="shared" si="85"/>
        <v>301.154</v>
      </c>
      <c r="AD140">
        <f t="shared" si="86"/>
        <v>174.44</v>
      </c>
      <c r="AE140">
        <v>2</v>
      </c>
      <c r="AF140">
        <v>31</v>
      </c>
      <c r="AG140">
        <v>2</v>
      </c>
      <c r="AH140">
        <v>23</v>
      </c>
      <c r="AI140">
        <v>2</v>
      </c>
      <c r="AJ140">
        <v>31</v>
      </c>
      <c r="AK140">
        <v>2</v>
      </c>
      <c r="AL140">
        <v>23</v>
      </c>
      <c r="AN140">
        <v>250</v>
      </c>
      <c r="AO140">
        <v>250</v>
      </c>
      <c r="AP140" t="s">
        <v>39</v>
      </c>
      <c r="AQ140" s="30" t="s">
        <v>63</v>
      </c>
      <c r="AR140">
        <v>15.9</v>
      </c>
      <c r="AS140">
        <v>199</v>
      </c>
      <c r="AT140">
        <f t="shared" si="87"/>
        <v>351.13400000000001</v>
      </c>
      <c r="AU140">
        <f t="shared" si="88"/>
        <v>188.16</v>
      </c>
      <c r="AV140" t="s">
        <v>40</v>
      </c>
      <c r="AW140">
        <v>35</v>
      </c>
      <c r="AX140">
        <v>2</v>
      </c>
      <c r="AY140">
        <v>6.35</v>
      </c>
      <c r="AZ140">
        <v>31.7</v>
      </c>
      <c r="BA140">
        <f t="shared" si="89"/>
        <v>301.154</v>
      </c>
      <c r="BB140">
        <f t="shared" si="90"/>
        <v>174.44</v>
      </c>
      <c r="BC140">
        <v>5</v>
      </c>
      <c r="BD140">
        <v>36</v>
      </c>
      <c r="BE140">
        <v>2</v>
      </c>
      <c r="BF140">
        <v>55</v>
      </c>
      <c r="BG140">
        <v>5</v>
      </c>
      <c r="BH140">
        <v>36</v>
      </c>
      <c r="BI140">
        <v>2</v>
      </c>
      <c r="BJ140">
        <v>55</v>
      </c>
      <c r="BL140" s="30">
        <v>0</v>
      </c>
      <c r="BM140" t="s">
        <v>166</v>
      </c>
      <c r="BN140" s="7" t="s">
        <v>771</v>
      </c>
      <c r="BP140" s="30">
        <v>71.3</v>
      </c>
      <c r="BQ140">
        <v>3</v>
      </c>
      <c r="BR140" s="16">
        <v>6</v>
      </c>
      <c r="BS140" s="100">
        <v>374.94800000000004</v>
      </c>
      <c r="BT140" s="100">
        <v>176.4</v>
      </c>
    </row>
    <row r="141" spans="1:73">
      <c r="A141">
        <v>136</v>
      </c>
      <c r="B141" s="1">
        <v>1</v>
      </c>
      <c r="G141" t="s">
        <v>160</v>
      </c>
      <c r="H141" s="1" t="s">
        <v>209</v>
      </c>
      <c r="I141">
        <f t="shared" si="81"/>
        <v>40.67</v>
      </c>
      <c r="J141">
        <f t="shared" si="81"/>
        <v>40.67</v>
      </c>
      <c r="K141">
        <f t="shared" si="81"/>
        <v>40.67</v>
      </c>
      <c r="L141">
        <v>2000</v>
      </c>
      <c r="M141">
        <v>1400</v>
      </c>
      <c r="N141">
        <v>0</v>
      </c>
      <c r="O141">
        <f t="shared" si="82"/>
        <v>392</v>
      </c>
      <c r="P141">
        <v>180</v>
      </c>
      <c r="Q141">
        <v>250</v>
      </c>
      <c r="R141" t="s">
        <v>62</v>
      </c>
      <c r="S141" s="30" t="s">
        <v>63</v>
      </c>
      <c r="T141">
        <v>12.7</v>
      </c>
      <c r="U141">
        <v>127</v>
      </c>
      <c r="V141" s="1">
        <f t="shared" si="83"/>
        <v>382.59200000000004</v>
      </c>
      <c r="W141" s="1">
        <f t="shared" si="84"/>
        <v>186.2</v>
      </c>
      <c r="X141" t="s">
        <v>40</v>
      </c>
      <c r="Y141">
        <v>80</v>
      </c>
      <c r="Z141">
        <v>2</v>
      </c>
      <c r="AA141">
        <v>6.35</v>
      </c>
      <c r="AB141">
        <v>31.7</v>
      </c>
      <c r="AC141">
        <f t="shared" si="85"/>
        <v>301.154</v>
      </c>
      <c r="AD141">
        <f t="shared" si="86"/>
        <v>174.44</v>
      </c>
      <c r="AE141">
        <v>2</v>
      </c>
      <c r="AF141">
        <v>31</v>
      </c>
      <c r="AG141">
        <v>2</v>
      </c>
      <c r="AH141">
        <v>23</v>
      </c>
      <c r="AI141">
        <v>2</v>
      </c>
      <c r="AJ141">
        <v>31</v>
      </c>
      <c r="AK141">
        <v>2</v>
      </c>
      <c r="AL141">
        <v>23</v>
      </c>
      <c r="AN141">
        <v>250</v>
      </c>
      <c r="AO141">
        <v>250</v>
      </c>
      <c r="AP141" t="s">
        <v>39</v>
      </c>
      <c r="AQ141" s="30" t="s">
        <v>63</v>
      </c>
      <c r="AR141">
        <v>15.9</v>
      </c>
      <c r="AS141">
        <v>199</v>
      </c>
      <c r="AT141">
        <f t="shared" si="87"/>
        <v>351.13400000000001</v>
      </c>
      <c r="AU141">
        <f t="shared" si="88"/>
        <v>188.16</v>
      </c>
      <c r="AV141" t="s">
        <v>40</v>
      </c>
      <c r="AW141">
        <v>35</v>
      </c>
      <c r="AX141">
        <v>2</v>
      </c>
      <c r="AY141">
        <v>6.35</v>
      </c>
      <c r="AZ141">
        <v>31.7</v>
      </c>
      <c r="BA141">
        <f t="shared" si="89"/>
        <v>301.154</v>
      </c>
      <c r="BB141">
        <f t="shared" si="90"/>
        <v>174.44</v>
      </c>
      <c r="BC141">
        <v>5</v>
      </c>
      <c r="BD141">
        <v>36</v>
      </c>
      <c r="BE141">
        <v>2</v>
      </c>
      <c r="BF141">
        <v>55</v>
      </c>
      <c r="BG141">
        <v>5</v>
      </c>
      <c r="BH141">
        <v>36</v>
      </c>
      <c r="BI141">
        <v>2</v>
      </c>
      <c r="BJ141">
        <v>55</v>
      </c>
      <c r="BL141" s="30">
        <v>0</v>
      </c>
      <c r="BM141" t="s">
        <v>166</v>
      </c>
      <c r="BN141" s="7" t="s">
        <v>153</v>
      </c>
      <c r="BP141" s="30">
        <v>71.3</v>
      </c>
      <c r="BQ141">
        <v>3</v>
      </c>
      <c r="BR141" s="16">
        <v>6</v>
      </c>
      <c r="BS141" s="100">
        <v>374.94800000000004</v>
      </c>
      <c r="BT141" s="100">
        <v>176.4</v>
      </c>
    </row>
    <row r="142" spans="1:73">
      <c r="A142">
        <v>137</v>
      </c>
      <c r="B142" s="1">
        <v>1</v>
      </c>
      <c r="G142" t="s">
        <v>160</v>
      </c>
      <c r="H142" s="1" t="s">
        <v>210</v>
      </c>
      <c r="I142">
        <f t="shared" si="81"/>
        <v>40.67</v>
      </c>
      <c r="J142">
        <f t="shared" si="81"/>
        <v>40.67</v>
      </c>
      <c r="K142">
        <f t="shared" si="81"/>
        <v>40.67</v>
      </c>
      <c r="L142">
        <v>2000</v>
      </c>
      <c r="M142">
        <v>1400</v>
      </c>
      <c r="N142">
        <v>0</v>
      </c>
      <c r="O142">
        <f t="shared" si="82"/>
        <v>392</v>
      </c>
      <c r="P142">
        <v>180</v>
      </c>
      <c r="Q142">
        <v>250</v>
      </c>
      <c r="R142" t="s">
        <v>62</v>
      </c>
      <c r="S142" s="30" t="s">
        <v>63</v>
      </c>
      <c r="T142">
        <v>12.7</v>
      </c>
      <c r="U142">
        <v>127</v>
      </c>
      <c r="V142" s="1">
        <f t="shared" si="83"/>
        <v>382.59200000000004</v>
      </c>
      <c r="W142" s="1">
        <f t="shared" si="84"/>
        <v>186.2</v>
      </c>
      <c r="X142" t="s">
        <v>40</v>
      </c>
      <c r="Y142">
        <v>80</v>
      </c>
      <c r="Z142">
        <v>2</v>
      </c>
      <c r="AA142">
        <v>6.35</v>
      </c>
      <c r="AB142" s="17">
        <v>31.7</v>
      </c>
      <c r="AC142">
        <f t="shared" si="85"/>
        <v>301.154</v>
      </c>
      <c r="AD142">
        <f t="shared" si="86"/>
        <v>174.44</v>
      </c>
      <c r="AE142">
        <v>3</v>
      </c>
      <c r="AF142">
        <v>31</v>
      </c>
      <c r="AG142">
        <v>2</v>
      </c>
      <c r="AH142">
        <v>23</v>
      </c>
      <c r="AI142">
        <v>3</v>
      </c>
      <c r="AJ142">
        <v>31</v>
      </c>
      <c r="AK142">
        <v>2</v>
      </c>
      <c r="AL142">
        <v>23</v>
      </c>
      <c r="AN142">
        <v>250</v>
      </c>
      <c r="AO142">
        <v>250</v>
      </c>
      <c r="AP142" t="s">
        <v>39</v>
      </c>
      <c r="AQ142" s="30" t="s">
        <v>63</v>
      </c>
      <c r="AR142">
        <v>15.9</v>
      </c>
      <c r="AS142">
        <v>199</v>
      </c>
      <c r="AT142">
        <f t="shared" si="87"/>
        <v>351.13400000000001</v>
      </c>
      <c r="AU142">
        <f t="shared" si="88"/>
        <v>188.16</v>
      </c>
      <c r="AV142" t="s">
        <v>40</v>
      </c>
      <c r="AW142">
        <v>35</v>
      </c>
      <c r="AX142">
        <v>2</v>
      </c>
      <c r="AY142">
        <v>6.35</v>
      </c>
      <c r="AZ142">
        <v>31.7</v>
      </c>
      <c r="BA142">
        <f t="shared" si="89"/>
        <v>301.154</v>
      </c>
      <c r="BB142">
        <f t="shared" si="90"/>
        <v>174.44</v>
      </c>
      <c r="BC142">
        <v>5</v>
      </c>
      <c r="BD142">
        <v>36</v>
      </c>
      <c r="BE142">
        <v>2</v>
      </c>
      <c r="BF142">
        <v>55</v>
      </c>
      <c r="BG142">
        <v>5</v>
      </c>
      <c r="BH142">
        <v>36</v>
      </c>
      <c r="BI142">
        <v>2</v>
      </c>
      <c r="BJ142">
        <v>55</v>
      </c>
      <c r="BL142" s="30">
        <v>0</v>
      </c>
      <c r="BM142" t="s">
        <v>166</v>
      </c>
      <c r="BN142" s="7" t="s">
        <v>153</v>
      </c>
      <c r="BP142" s="30">
        <v>71.3</v>
      </c>
      <c r="BQ142">
        <v>3</v>
      </c>
      <c r="BR142" s="16">
        <v>6</v>
      </c>
      <c r="BS142" s="100">
        <v>374.94800000000004</v>
      </c>
      <c r="BT142" s="100">
        <v>176.4</v>
      </c>
    </row>
    <row r="143" spans="1:73">
      <c r="A143">
        <v>138</v>
      </c>
      <c r="B143" s="1">
        <v>1</v>
      </c>
      <c r="G143" t="s">
        <v>160</v>
      </c>
      <c r="H143" s="1" t="s">
        <v>211</v>
      </c>
      <c r="I143">
        <f t="shared" si="81"/>
        <v>40.67</v>
      </c>
      <c r="J143">
        <f t="shared" si="81"/>
        <v>40.67</v>
      </c>
      <c r="K143">
        <f t="shared" si="81"/>
        <v>40.67</v>
      </c>
      <c r="L143">
        <v>2000</v>
      </c>
      <c r="M143">
        <v>1400</v>
      </c>
      <c r="N143">
        <v>0</v>
      </c>
      <c r="O143">
        <f t="shared" si="82"/>
        <v>392</v>
      </c>
      <c r="P143">
        <v>180</v>
      </c>
      <c r="Q143">
        <v>250</v>
      </c>
      <c r="R143" t="s">
        <v>62</v>
      </c>
      <c r="S143" s="30" t="s">
        <v>63</v>
      </c>
      <c r="T143">
        <v>12.7</v>
      </c>
      <c r="U143">
        <v>127</v>
      </c>
      <c r="V143" s="1">
        <f t="shared" si="83"/>
        <v>382.59200000000004</v>
      </c>
      <c r="W143" s="1">
        <f t="shared" si="84"/>
        <v>186.2</v>
      </c>
      <c r="X143" t="s">
        <v>40</v>
      </c>
      <c r="Y143">
        <v>80</v>
      </c>
      <c r="Z143">
        <v>2</v>
      </c>
      <c r="AA143">
        <v>6.35</v>
      </c>
      <c r="AB143">
        <v>31.7</v>
      </c>
      <c r="AC143">
        <f t="shared" si="85"/>
        <v>301.154</v>
      </c>
      <c r="AD143">
        <f t="shared" si="86"/>
        <v>174.44</v>
      </c>
      <c r="AE143">
        <v>3</v>
      </c>
      <c r="AF143">
        <v>31</v>
      </c>
      <c r="AG143">
        <v>2</v>
      </c>
      <c r="AH143">
        <v>23</v>
      </c>
      <c r="AI143">
        <v>3</v>
      </c>
      <c r="AJ143">
        <v>31</v>
      </c>
      <c r="AK143">
        <v>2</v>
      </c>
      <c r="AL143">
        <v>23</v>
      </c>
      <c r="AN143">
        <v>250</v>
      </c>
      <c r="AO143">
        <v>250</v>
      </c>
      <c r="AP143" t="s">
        <v>39</v>
      </c>
      <c r="AQ143" s="30" t="s">
        <v>63</v>
      </c>
      <c r="AR143">
        <v>15.9</v>
      </c>
      <c r="AS143">
        <v>199</v>
      </c>
      <c r="AT143">
        <f t="shared" si="87"/>
        <v>351.13400000000001</v>
      </c>
      <c r="AU143">
        <f t="shared" si="88"/>
        <v>188.16</v>
      </c>
      <c r="AV143" t="s">
        <v>40</v>
      </c>
      <c r="AW143">
        <v>35</v>
      </c>
      <c r="AX143">
        <v>2</v>
      </c>
      <c r="AY143">
        <v>6.35</v>
      </c>
      <c r="AZ143">
        <v>31.7</v>
      </c>
      <c r="BA143">
        <f t="shared" si="89"/>
        <v>301.154</v>
      </c>
      <c r="BB143">
        <f t="shared" si="90"/>
        <v>174.44</v>
      </c>
      <c r="BC143">
        <v>5</v>
      </c>
      <c r="BD143">
        <v>36</v>
      </c>
      <c r="BE143">
        <v>2</v>
      </c>
      <c r="BF143">
        <v>55</v>
      </c>
      <c r="BG143">
        <v>5</v>
      </c>
      <c r="BH143">
        <v>36</v>
      </c>
      <c r="BI143">
        <v>2</v>
      </c>
      <c r="BJ143">
        <v>55</v>
      </c>
      <c r="BL143" s="30">
        <v>0</v>
      </c>
      <c r="BM143" t="s">
        <v>166</v>
      </c>
      <c r="BN143" s="7" t="s">
        <v>153</v>
      </c>
      <c r="BP143" s="30">
        <v>71.3</v>
      </c>
      <c r="BQ143">
        <v>3</v>
      </c>
      <c r="BR143" s="16">
        <v>6</v>
      </c>
      <c r="BS143" s="100">
        <v>374.94800000000004</v>
      </c>
      <c r="BT143" s="100">
        <v>176.4</v>
      </c>
    </row>
    <row r="144" spans="1:73">
      <c r="A144">
        <v>139</v>
      </c>
      <c r="B144" s="1">
        <v>1</v>
      </c>
      <c r="C144">
        <v>36</v>
      </c>
      <c r="D144" t="s">
        <v>45</v>
      </c>
      <c r="E144">
        <v>1991</v>
      </c>
      <c r="F144" t="s">
        <v>27</v>
      </c>
      <c r="G144" t="s">
        <v>160</v>
      </c>
      <c r="H144" s="1" t="s">
        <v>212</v>
      </c>
      <c r="I144">
        <f>332*9.8/100</f>
        <v>32.536000000000001</v>
      </c>
      <c r="J144">
        <f>341*9.8/100</f>
        <v>33.417999999999999</v>
      </c>
      <c r="K144">
        <f>344*9.8/100</f>
        <v>33.712000000000003</v>
      </c>
      <c r="L144">
        <v>3150</v>
      </c>
      <c r="M144">
        <v>2000</v>
      </c>
      <c r="N144">
        <v>0</v>
      </c>
      <c r="O144">
        <f>34.3*9.8/100*540*540/1000</f>
        <v>980.18424000000005</v>
      </c>
      <c r="P144">
        <v>365</v>
      </c>
      <c r="Q144">
        <v>560</v>
      </c>
      <c r="R144" t="s">
        <v>213</v>
      </c>
      <c r="T144">
        <v>25.4</v>
      </c>
      <c r="U144">
        <v>507</v>
      </c>
      <c r="V144" s="1">
        <f>4290*9.8/100</f>
        <v>420.42</v>
      </c>
      <c r="W144" s="1">
        <f>1868*9.8/100</f>
        <v>183.06400000000002</v>
      </c>
      <c r="X144" t="s">
        <v>153</v>
      </c>
      <c r="Y144">
        <v>65</v>
      </c>
      <c r="Z144">
        <v>4</v>
      </c>
      <c r="AA144">
        <v>9.5299999999999994</v>
      </c>
      <c r="AB144">
        <v>71</v>
      </c>
      <c r="AC144">
        <f>3343*9.8/100</f>
        <v>327.61400000000003</v>
      </c>
      <c r="AD144">
        <f>1714*9.8/100</f>
        <v>167.97200000000001</v>
      </c>
      <c r="AE144">
        <v>4</v>
      </c>
      <c r="AF144">
        <v>90</v>
      </c>
      <c r="AG144">
        <v>2</v>
      </c>
      <c r="AH144">
        <v>110</v>
      </c>
      <c r="AI144">
        <v>4</v>
      </c>
      <c r="AJ144">
        <v>55</v>
      </c>
      <c r="AK144">
        <v>0</v>
      </c>
      <c r="AL144">
        <v>0</v>
      </c>
      <c r="AN144">
        <v>540</v>
      </c>
      <c r="AO144">
        <v>540</v>
      </c>
      <c r="AP144" t="s">
        <v>214</v>
      </c>
      <c r="AR144">
        <v>28.7</v>
      </c>
      <c r="AS144">
        <v>642</v>
      </c>
      <c r="AT144">
        <f>4429*9.8/100</f>
        <v>434.04200000000003</v>
      </c>
      <c r="AU144">
        <f>1766*9.8/100</f>
        <v>173.06800000000004</v>
      </c>
      <c r="AV144" t="s">
        <v>153</v>
      </c>
      <c r="AW144">
        <v>60</v>
      </c>
      <c r="AX144">
        <v>4</v>
      </c>
      <c r="AY144">
        <v>9.5299999999999994</v>
      </c>
      <c r="AZ144">
        <v>71.3</v>
      </c>
      <c r="BA144">
        <f>3343*9.8/100</f>
        <v>327.61400000000003</v>
      </c>
      <c r="BB144">
        <f>1714*9.8/100</f>
        <v>167.97200000000001</v>
      </c>
      <c r="BC144">
        <v>4</v>
      </c>
      <c r="BD144">
        <v>63</v>
      </c>
      <c r="BE144">
        <v>2</v>
      </c>
      <c r="BF144">
        <v>127</v>
      </c>
      <c r="BG144">
        <v>4</v>
      </c>
      <c r="BH144">
        <v>63</v>
      </c>
      <c r="BI144">
        <v>2</v>
      </c>
      <c r="BJ144">
        <v>127</v>
      </c>
      <c r="BL144" s="30">
        <v>0</v>
      </c>
      <c r="BM144" t="s">
        <v>378</v>
      </c>
      <c r="BN144" s="7" t="s">
        <v>775</v>
      </c>
      <c r="BP144" s="30">
        <v>31.7</v>
      </c>
      <c r="BQ144">
        <v>6</v>
      </c>
      <c r="BR144">
        <v>18</v>
      </c>
      <c r="BS144" s="100">
        <v>311.64000000000004</v>
      </c>
      <c r="BT144" s="100">
        <v>154.84000000000003</v>
      </c>
      <c r="BU144" s="23">
        <v>0.59</v>
      </c>
    </row>
    <row r="145" spans="1:74">
      <c r="A145">
        <v>140</v>
      </c>
      <c r="B145" s="1">
        <v>1</v>
      </c>
      <c r="G145" t="s">
        <v>160</v>
      </c>
      <c r="H145" s="1" t="s">
        <v>215</v>
      </c>
      <c r="I145">
        <f>332*9.8/100</f>
        <v>32.536000000000001</v>
      </c>
      <c r="J145">
        <f>341*9.8/100</f>
        <v>33.417999999999999</v>
      </c>
      <c r="K145">
        <f>325*9.8/100</f>
        <v>31.850000000000005</v>
      </c>
      <c r="L145">
        <v>3150</v>
      </c>
      <c r="M145">
        <v>2000</v>
      </c>
      <c r="N145">
        <v>0</v>
      </c>
      <c r="O145">
        <f>34.3*9.8/100*540*540/1000</f>
        <v>980.18424000000005</v>
      </c>
      <c r="P145">
        <v>365</v>
      </c>
      <c r="Q145">
        <v>560</v>
      </c>
      <c r="R145" t="s">
        <v>213</v>
      </c>
      <c r="T145">
        <v>25.4</v>
      </c>
      <c r="U145">
        <v>507</v>
      </c>
      <c r="V145" s="1">
        <f>4290*9.8/100</f>
        <v>420.42</v>
      </c>
      <c r="W145" s="1">
        <f>1868*9.8/100</f>
        <v>183.06400000000002</v>
      </c>
      <c r="X145" t="s">
        <v>153</v>
      </c>
      <c r="Y145">
        <v>65</v>
      </c>
      <c r="Z145">
        <v>4</v>
      </c>
      <c r="AA145">
        <v>9.5299999999999994</v>
      </c>
      <c r="AB145">
        <v>71</v>
      </c>
      <c r="AC145">
        <f>3343*9.8/100</f>
        <v>327.61400000000003</v>
      </c>
      <c r="AD145">
        <f>1714*9.8/100</f>
        <v>167.97200000000001</v>
      </c>
      <c r="AE145">
        <v>4</v>
      </c>
      <c r="AF145">
        <v>90</v>
      </c>
      <c r="AG145">
        <v>2</v>
      </c>
      <c r="AH145">
        <v>110</v>
      </c>
      <c r="AI145">
        <v>4</v>
      </c>
      <c r="AJ145">
        <v>55</v>
      </c>
      <c r="AK145">
        <v>0</v>
      </c>
      <c r="AL145">
        <v>0</v>
      </c>
      <c r="AN145">
        <v>540</v>
      </c>
      <c r="AO145">
        <v>540</v>
      </c>
      <c r="AP145" t="s">
        <v>214</v>
      </c>
      <c r="AR145">
        <v>28.7</v>
      </c>
      <c r="AS145">
        <v>642</v>
      </c>
      <c r="AT145">
        <f>4429*9.8/100</f>
        <v>434.04200000000003</v>
      </c>
      <c r="AU145">
        <f>1766*9.8/100</f>
        <v>173.06800000000004</v>
      </c>
      <c r="AV145" t="s">
        <v>153</v>
      </c>
      <c r="AW145">
        <v>60</v>
      </c>
      <c r="AX145">
        <v>4</v>
      </c>
      <c r="AY145">
        <v>9.5299999999999994</v>
      </c>
      <c r="AZ145">
        <v>71.3</v>
      </c>
      <c r="BA145">
        <f>3343*9.8/100</f>
        <v>327.61400000000003</v>
      </c>
      <c r="BB145">
        <f>1714*9.8/100</f>
        <v>167.97200000000001</v>
      </c>
      <c r="BC145">
        <v>4</v>
      </c>
      <c r="BD145">
        <v>63</v>
      </c>
      <c r="BE145">
        <v>2</v>
      </c>
      <c r="BF145">
        <v>127</v>
      </c>
      <c r="BG145">
        <v>4</v>
      </c>
      <c r="BH145">
        <v>63</v>
      </c>
      <c r="BI145">
        <v>2</v>
      </c>
      <c r="BJ145">
        <v>127</v>
      </c>
      <c r="BL145" s="30">
        <v>0</v>
      </c>
      <c r="BM145" t="s">
        <v>166</v>
      </c>
      <c r="BN145" s="7" t="s">
        <v>771</v>
      </c>
      <c r="BP145" s="30">
        <v>71.3</v>
      </c>
      <c r="BQ145">
        <v>6</v>
      </c>
      <c r="BR145">
        <v>12</v>
      </c>
      <c r="BS145" s="100">
        <v>306.44600000000003</v>
      </c>
      <c r="BT145" s="100">
        <v>165.32600000000002</v>
      </c>
      <c r="BU145" s="23">
        <v>0.6</v>
      </c>
    </row>
    <row r="146" spans="1:74" s="3" customFormat="1">
      <c r="A146">
        <v>141</v>
      </c>
      <c r="B146" s="1">
        <v>1</v>
      </c>
      <c r="G146" s="3" t="s">
        <v>160</v>
      </c>
      <c r="H146" s="4" t="s">
        <v>216</v>
      </c>
      <c r="I146" s="3">
        <f>332*9.8/100</f>
        <v>32.536000000000001</v>
      </c>
      <c r="J146" s="3">
        <f>341*9.8/100</f>
        <v>33.417999999999999</v>
      </c>
      <c r="K146" s="3">
        <f>354*9.8/100</f>
        <v>34.692</v>
      </c>
      <c r="L146" s="3">
        <v>3150</v>
      </c>
      <c r="M146" s="3">
        <v>2000</v>
      </c>
      <c r="N146" s="3">
        <v>0</v>
      </c>
      <c r="O146" s="3">
        <f>34.3*9.8/100*540*540/1000</f>
        <v>980.18424000000005</v>
      </c>
      <c r="P146" s="3">
        <v>365</v>
      </c>
      <c r="Q146" s="3">
        <v>560</v>
      </c>
      <c r="R146" s="3" t="s">
        <v>213</v>
      </c>
      <c r="S146" s="9"/>
      <c r="T146" s="3">
        <v>25.4</v>
      </c>
      <c r="U146" s="3">
        <v>507</v>
      </c>
      <c r="V146" s="4">
        <f>4290*9.8/100</f>
        <v>420.42</v>
      </c>
      <c r="W146" s="4">
        <f>1868*9.8/100</f>
        <v>183.06400000000002</v>
      </c>
      <c r="X146" s="3" t="s">
        <v>153</v>
      </c>
      <c r="Y146" s="3">
        <v>65</v>
      </c>
      <c r="Z146" s="3">
        <v>4</v>
      </c>
      <c r="AA146" s="3">
        <v>9.5299999999999994</v>
      </c>
      <c r="AB146" s="3">
        <v>71</v>
      </c>
      <c r="AC146" s="3">
        <f>3343*9.8/100</f>
        <v>327.61400000000003</v>
      </c>
      <c r="AD146" s="3">
        <f>1714*9.8/100</f>
        <v>167.97200000000001</v>
      </c>
      <c r="AE146" s="3">
        <v>4</v>
      </c>
      <c r="AF146" s="3">
        <v>90</v>
      </c>
      <c r="AG146" s="3">
        <v>2</v>
      </c>
      <c r="AH146" s="3">
        <v>110</v>
      </c>
      <c r="AI146" s="3">
        <v>4</v>
      </c>
      <c r="AJ146" s="3">
        <v>55</v>
      </c>
      <c r="AK146" s="3">
        <v>0</v>
      </c>
      <c r="AL146" s="3">
        <v>0</v>
      </c>
      <c r="AM146" s="9"/>
      <c r="AN146" s="3">
        <v>540</v>
      </c>
      <c r="AO146" s="3">
        <v>540</v>
      </c>
      <c r="AP146" s="3" t="s">
        <v>214</v>
      </c>
      <c r="AQ146" s="9"/>
      <c r="AR146" s="3">
        <v>28.7</v>
      </c>
      <c r="AS146" s="3">
        <v>642</v>
      </c>
      <c r="AT146" s="3">
        <f>4429*9.8/100</f>
        <v>434.04200000000003</v>
      </c>
      <c r="AU146" s="3">
        <f>1766*9.8/100</f>
        <v>173.06800000000004</v>
      </c>
      <c r="AV146" s="3" t="s">
        <v>153</v>
      </c>
      <c r="AW146" s="3">
        <v>60</v>
      </c>
      <c r="AX146" s="3">
        <v>4</v>
      </c>
      <c r="AY146" s="3">
        <v>9.5299999999999994</v>
      </c>
      <c r="AZ146" s="3">
        <v>71.3</v>
      </c>
      <c r="BA146" s="3">
        <f>3343*9.8/100</f>
        <v>327.61400000000003</v>
      </c>
      <c r="BB146" s="3">
        <f>1714*9.8/100</f>
        <v>167.97200000000001</v>
      </c>
      <c r="BC146" s="3">
        <v>4</v>
      </c>
      <c r="BD146" s="3">
        <v>63</v>
      </c>
      <c r="BE146" s="3">
        <v>2</v>
      </c>
      <c r="BF146" s="3">
        <v>127</v>
      </c>
      <c r="BG146" s="3">
        <v>4</v>
      </c>
      <c r="BH146" s="3">
        <v>63</v>
      </c>
      <c r="BI146" s="3">
        <v>2</v>
      </c>
      <c r="BJ146" s="3">
        <v>127</v>
      </c>
      <c r="BK146" s="9"/>
      <c r="BL146" s="9">
        <v>0</v>
      </c>
      <c r="BM146" s="3" t="s">
        <v>166</v>
      </c>
      <c r="BN146" s="3" t="s">
        <v>776</v>
      </c>
      <c r="BO146" s="9"/>
      <c r="BP146" s="9">
        <v>127</v>
      </c>
      <c r="BQ146" s="3">
        <v>6</v>
      </c>
      <c r="BR146" s="3">
        <v>12</v>
      </c>
      <c r="BS146" s="101">
        <v>314.09000000000003</v>
      </c>
      <c r="BT146" s="101">
        <v>168.364</v>
      </c>
      <c r="BU146" s="84">
        <v>1.05</v>
      </c>
    </row>
    <row r="147" spans="1:74">
      <c r="A147">
        <v>142</v>
      </c>
      <c r="B147" s="1">
        <v>1</v>
      </c>
      <c r="C147" s="2">
        <v>37</v>
      </c>
      <c r="D147" t="s">
        <v>52</v>
      </c>
      <c r="E147">
        <v>1992</v>
      </c>
      <c r="F147" t="s">
        <v>64</v>
      </c>
      <c r="G147" s="7" t="s">
        <v>559</v>
      </c>
      <c r="H147" s="7" t="s">
        <v>574</v>
      </c>
      <c r="I147">
        <f>405*9.8/100</f>
        <v>39.690000000000005</v>
      </c>
      <c r="J147">
        <f>405*9.8/100</f>
        <v>39.690000000000005</v>
      </c>
      <c r="K147">
        <f>405*9.8/100</f>
        <v>39.690000000000005</v>
      </c>
      <c r="L147" s="7">
        <v>2700</v>
      </c>
      <c r="M147" s="7">
        <v>1470</v>
      </c>
      <c r="N147" s="7">
        <v>0</v>
      </c>
      <c r="O147">
        <f>9.7*9.8</f>
        <v>95.06</v>
      </c>
      <c r="P147" s="7">
        <v>200</v>
      </c>
      <c r="Q147" s="7">
        <v>300</v>
      </c>
      <c r="R147" s="7" t="s">
        <v>575</v>
      </c>
      <c r="T147" s="7">
        <v>15.9</v>
      </c>
      <c r="U147" s="7">
        <v>199</v>
      </c>
      <c r="V147" s="1">
        <f>3770*9.8/100</f>
        <v>369.46</v>
      </c>
      <c r="W147" s="21">
        <v>205</v>
      </c>
      <c r="X147" s="7" t="s">
        <v>576</v>
      </c>
      <c r="Y147" s="7">
        <v>40</v>
      </c>
      <c r="Z147" s="7">
        <v>2</v>
      </c>
      <c r="AA147" s="7">
        <v>6.35</v>
      </c>
      <c r="AB147" s="7">
        <v>31.7</v>
      </c>
      <c r="AC147">
        <f>3780*9.8/100</f>
        <v>370.44</v>
      </c>
      <c r="AD147" s="16">
        <v>205</v>
      </c>
      <c r="AE147" s="7">
        <v>4</v>
      </c>
      <c r="AF147" s="7">
        <v>40</v>
      </c>
      <c r="AG147" s="7">
        <v>2</v>
      </c>
      <c r="AH147" s="7">
        <v>44</v>
      </c>
      <c r="AI147" s="7">
        <v>4</v>
      </c>
      <c r="AJ147" s="7">
        <v>40</v>
      </c>
      <c r="AK147" s="7">
        <v>0</v>
      </c>
      <c r="AL147" s="7">
        <v>0</v>
      </c>
      <c r="AN147" s="7">
        <v>300</v>
      </c>
      <c r="AO147" s="7">
        <v>300</v>
      </c>
      <c r="AP147" s="7" t="s">
        <v>577</v>
      </c>
      <c r="AR147" s="7">
        <v>15.9</v>
      </c>
      <c r="AS147" s="7">
        <v>199</v>
      </c>
      <c r="AT147">
        <f>3770*9.8/100</f>
        <v>369.46</v>
      </c>
      <c r="AU147" s="16">
        <v>205</v>
      </c>
      <c r="AV147" s="7" t="s">
        <v>576</v>
      </c>
      <c r="AW147" s="7">
        <v>50</v>
      </c>
      <c r="AX147" s="7">
        <v>4</v>
      </c>
      <c r="AY147" s="7">
        <v>6.35</v>
      </c>
      <c r="AZ147" s="7">
        <v>31.7</v>
      </c>
      <c r="BA147">
        <f>3780*9.8/100</f>
        <v>370.44</v>
      </c>
      <c r="BB147" s="16">
        <v>205</v>
      </c>
      <c r="BC147" s="7">
        <v>5</v>
      </c>
      <c r="BD147" s="7">
        <v>40</v>
      </c>
      <c r="BE147" s="7">
        <v>2</v>
      </c>
      <c r="BF147" s="7">
        <v>64</v>
      </c>
      <c r="BG147" s="7">
        <v>5</v>
      </c>
      <c r="BH147" s="7">
        <v>40</v>
      </c>
      <c r="BI147" s="7">
        <v>2</v>
      </c>
      <c r="BJ147" s="7">
        <v>64</v>
      </c>
      <c r="BL147" s="30">
        <v>2</v>
      </c>
      <c r="BM147" s="7" t="s">
        <v>578</v>
      </c>
      <c r="BN147" s="7" t="s">
        <v>699</v>
      </c>
      <c r="BO147" s="31"/>
      <c r="BP147" s="31">
        <v>28</v>
      </c>
      <c r="BQ147" s="7">
        <v>3</v>
      </c>
      <c r="BR147" s="7">
        <v>9</v>
      </c>
      <c r="BS147">
        <f>2400*9.8/100</f>
        <v>235.2</v>
      </c>
      <c r="BT147" s="16">
        <v>205</v>
      </c>
      <c r="BU147" s="76">
        <v>0.37</v>
      </c>
    </row>
    <row r="148" spans="1:74" s="5" customFormat="1">
      <c r="A148">
        <v>143</v>
      </c>
      <c r="B148" s="1">
        <v>1</v>
      </c>
      <c r="C148" s="5">
        <v>38</v>
      </c>
      <c r="D148" s="5" t="s">
        <v>65</v>
      </c>
      <c r="E148" s="5">
        <v>1992</v>
      </c>
      <c r="F148" s="5" t="s">
        <v>33</v>
      </c>
      <c r="G148" s="5" t="s">
        <v>160</v>
      </c>
      <c r="H148" s="6" t="s">
        <v>217</v>
      </c>
      <c r="I148" s="5">
        <f t="shared" ref="I148:K149" si="91">860*9.8/100</f>
        <v>84.28</v>
      </c>
      <c r="J148" s="5">
        <f t="shared" si="91"/>
        <v>84.28</v>
      </c>
      <c r="K148" s="5">
        <f t="shared" si="91"/>
        <v>84.28</v>
      </c>
      <c r="L148" s="5">
        <v>2700</v>
      </c>
      <c r="M148" s="5">
        <v>1470</v>
      </c>
      <c r="N148" s="5">
        <v>0</v>
      </c>
      <c r="O148" s="5">
        <f>0.1*800*9.8/100*300*300/1000</f>
        <v>705.6</v>
      </c>
      <c r="P148" s="5">
        <v>200</v>
      </c>
      <c r="Q148" s="5">
        <v>300</v>
      </c>
      <c r="R148" s="5" t="s">
        <v>57</v>
      </c>
      <c r="S148" s="8" t="s">
        <v>177</v>
      </c>
      <c r="T148" s="5">
        <v>19.100000000000001</v>
      </c>
      <c r="U148" s="5">
        <v>287</v>
      </c>
      <c r="V148" s="6">
        <f>7860*9.8/100</f>
        <v>770.28</v>
      </c>
      <c r="W148" s="6">
        <f>20.3*9.8</f>
        <v>198.94000000000003</v>
      </c>
      <c r="X148" s="5" t="s">
        <v>40</v>
      </c>
      <c r="Y148" s="5">
        <v>90</v>
      </c>
      <c r="Z148" s="5">
        <v>2</v>
      </c>
      <c r="AA148" s="5">
        <v>6.35</v>
      </c>
      <c r="AB148" s="5">
        <v>31.7</v>
      </c>
      <c r="AC148" s="5">
        <f>6880*9.8/100</f>
        <v>674.24</v>
      </c>
      <c r="AD148" s="5">
        <f>14.3*9.8</f>
        <v>140.14000000000001</v>
      </c>
      <c r="AE148" s="5">
        <v>2</v>
      </c>
      <c r="AF148" s="5">
        <v>40</v>
      </c>
      <c r="AG148" s="5">
        <v>2</v>
      </c>
      <c r="AH148" s="5">
        <v>40</v>
      </c>
      <c r="AI148" s="5">
        <v>2</v>
      </c>
      <c r="AJ148" s="5">
        <v>40</v>
      </c>
      <c r="AK148" s="5">
        <v>2</v>
      </c>
      <c r="AL148" s="5">
        <v>40</v>
      </c>
      <c r="AM148" s="8"/>
      <c r="AN148" s="5">
        <v>300</v>
      </c>
      <c r="AO148" s="5">
        <v>300</v>
      </c>
      <c r="AP148" s="5" t="s">
        <v>153</v>
      </c>
      <c r="AQ148" s="8" t="s">
        <v>177</v>
      </c>
      <c r="AR148" s="5">
        <v>9.5299999999999994</v>
      </c>
      <c r="AS148" s="5">
        <v>71.3</v>
      </c>
      <c r="AT148" s="5">
        <f>6570*9.8/100</f>
        <v>643.86000000000013</v>
      </c>
      <c r="AU148" s="5">
        <f>18.9*9.8</f>
        <v>185.22</v>
      </c>
      <c r="AV148" s="5" t="s">
        <v>40</v>
      </c>
      <c r="AW148" s="5">
        <v>80</v>
      </c>
      <c r="AX148" s="5">
        <v>2</v>
      </c>
      <c r="AY148" s="5">
        <v>6.35</v>
      </c>
      <c r="AZ148" s="5">
        <v>31.7</v>
      </c>
      <c r="BA148" s="5">
        <f>6880*9.8/100</f>
        <v>674.24</v>
      </c>
      <c r="BB148" s="5">
        <f>14.3*9.8</f>
        <v>140.14000000000001</v>
      </c>
      <c r="BC148" s="5">
        <v>4</v>
      </c>
      <c r="BD148" s="5">
        <v>40</v>
      </c>
      <c r="BE148" s="5">
        <v>2</v>
      </c>
      <c r="BF148" s="5">
        <v>50</v>
      </c>
      <c r="BG148" s="5">
        <v>4</v>
      </c>
      <c r="BH148" s="5">
        <v>40</v>
      </c>
      <c r="BI148" s="5">
        <v>2</v>
      </c>
      <c r="BJ148" s="5">
        <v>50</v>
      </c>
      <c r="BK148" s="8"/>
      <c r="BL148" s="8">
        <v>0</v>
      </c>
      <c r="BM148" s="5" t="s">
        <v>166</v>
      </c>
      <c r="BN148" s="6" t="s">
        <v>952</v>
      </c>
      <c r="BO148" s="8"/>
      <c r="BP148" s="8">
        <v>31.7</v>
      </c>
      <c r="BQ148" s="5">
        <v>3</v>
      </c>
      <c r="BR148" s="5">
        <v>6</v>
      </c>
      <c r="BS148" s="5">
        <f>6880*9.8/100</f>
        <v>674.24</v>
      </c>
      <c r="BT148" s="5">
        <f>14.3*9.8</f>
        <v>140.14000000000001</v>
      </c>
      <c r="BU148" s="83"/>
      <c r="BV148" s="83" t="s">
        <v>777</v>
      </c>
    </row>
    <row r="149" spans="1:74">
      <c r="A149">
        <v>144</v>
      </c>
      <c r="B149" s="1">
        <v>1</v>
      </c>
      <c r="G149" t="s">
        <v>160</v>
      </c>
      <c r="H149" s="1" t="s">
        <v>218</v>
      </c>
      <c r="I149">
        <f t="shared" si="91"/>
        <v>84.28</v>
      </c>
      <c r="J149">
        <f t="shared" si="91"/>
        <v>84.28</v>
      </c>
      <c r="K149">
        <f t="shared" si="91"/>
        <v>84.28</v>
      </c>
      <c r="L149">
        <v>2700</v>
      </c>
      <c r="M149">
        <v>1470</v>
      </c>
      <c r="N149">
        <v>0</v>
      </c>
      <c r="O149">
        <f>0.1*800*9.8/100*300*300/1000</f>
        <v>705.6</v>
      </c>
      <c r="P149">
        <v>200</v>
      </c>
      <c r="Q149">
        <v>300</v>
      </c>
      <c r="R149" t="s">
        <v>57</v>
      </c>
      <c r="S149" s="30" t="s">
        <v>177</v>
      </c>
      <c r="T149">
        <v>19.100000000000001</v>
      </c>
      <c r="U149">
        <v>287</v>
      </c>
      <c r="V149" s="1">
        <f>7860*9.8/100</f>
        <v>770.28</v>
      </c>
      <c r="W149" s="1">
        <f>20.3*9.8</f>
        <v>198.94000000000003</v>
      </c>
      <c r="X149" t="s">
        <v>40</v>
      </c>
      <c r="Y149">
        <v>60</v>
      </c>
      <c r="Z149">
        <v>2</v>
      </c>
      <c r="AA149">
        <v>6.35</v>
      </c>
      <c r="AB149">
        <v>31.7</v>
      </c>
      <c r="AC149">
        <f>6880*9.8/100</f>
        <v>674.24</v>
      </c>
      <c r="AD149">
        <f>14.3*9.8</f>
        <v>140.14000000000001</v>
      </c>
      <c r="AE149">
        <v>3</v>
      </c>
      <c r="AF149">
        <v>40</v>
      </c>
      <c r="AG149">
        <v>3</v>
      </c>
      <c r="AH149">
        <v>40</v>
      </c>
      <c r="AI149">
        <v>3</v>
      </c>
      <c r="AJ149">
        <v>40</v>
      </c>
      <c r="AK149">
        <v>3</v>
      </c>
      <c r="AL149">
        <v>40</v>
      </c>
      <c r="AN149">
        <v>300</v>
      </c>
      <c r="AO149">
        <v>300</v>
      </c>
      <c r="AP149" t="s">
        <v>39</v>
      </c>
      <c r="AQ149" s="30" t="s">
        <v>177</v>
      </c>
      <c r="AR149">
        <v>15.9</v>
      </c>
      <c r="AS149">
        <v>199</v>
      </c>
      <c r="AT149">
        <f>7320*9.8/100</f>
        <v>717.36</v>
      </c>
      <c r="AU149">
        <f>21.6*9.8</f>
        <v>211.68000000000004</v>
      </c>
      <c r="AV149" t="s">
        <v>40</v>
      </c>
      <c r="AW149">
        <v>50</v>
      </c>
      <c r="AX149">
        <v>2</v>
      </c>
      <c r="AY149">
        <v>6.35</v>
      </c>
      <c r="AZ149">
        <v>31.7</v>
      </c>
      <c r="BA149">
        <f>6880*9.8/100</f>
        <v>674.24</v>
      </c>
      <c r="BB149">
        <f>14.3*9.8</f>
        <v>140.14000000000001</v>
      </c>
      <c r="BC149">
        <v>4</v>
      </c>
      <c r="BD149">
        <v>40</v>
      </c>
      <c r="BE149">
        <v>2</v>
      </c>
      <c r="BF149">
        <v>50</v>
      </c>
      <c r="BG149">
        <v>4</v>
      </c>
      <c r="BH149">
        <v>40</v>
      </c>
      <c r="BI149">
        <v>2</v>
      </c>
      <c r="BJ149">
        <v>50</v>
      </c>
      <c r="BL149" s="30">
        <v>0</v>
      </c>
      <c r="BM149" t="s">
        <v>166</v>
      </c>
      <c r="BN149" s="7" t="s">
        <v>952</v>
      </c>
      <c r="BP149" s="30">
        <v>31.7</v>
      </c>
      <c r="BQ149">
        <v>3</v>
      </c>
      <c r="BR149">
        <v>6</v>
      </c>
      <c r="BS149">
        <f>6880*9.8/100</f>
        <v>674.24</v>
      </c>
      <c r="BT149">
        <f>14.3*9.8</f>
        <v>140.14000000000001</v>
      </c>
      <c r="BV149" s="23" t="s">
        <v>777</v>
      </c>
    </row>
    <row r="150" spans="1:74">
      <c r="A150">
        <v>145</v>
      </c>
      <c r="B150" s="1">
        <v>1</v>
      </c>
      <c r="G150" t="s">
        <v>160</v>
      </c>
      <c r="H150" s="1" t="s">
        <v>219</v>
      </c>
      <c r="I150">
        <f t="shared" ref="I150:K151" si="92">1004*9.8/100</f>
        <v>98.39200000000001</v>
      </c>
      <c r="J150">
        <f t="shared" si="92"/>
        <v>98.39200000000001</v>
      </c>
      <c r="K150">
        <f t="shared" si="92"/>
        <v>98.39200000000001</v>
      </c>
      <c r="L150">
        <v>2700</v>
      </c>
      <c r="M150">
        <v>1470</v>
      </c>
      <c r="N150">
        <v>0</v>
      </c>
      <c r="O150">
        <f>0.1*1100*9.8/100*300*300/1000</f>
        <v>970.2</v>
      </c>
      <c r="P150">
        <v>200</v>
      </c>
      <c r="Q150">
        <v>300</v>
      </c>
      <c r="R150" t="s">
        <v>162</v>
      </c>
      <c r="S150" s="30" t="s">
        <v>177</v>
      </c>
      <c r="T150">
        <v>22.2</v>
      </c>
      <c r="U150">
        <v>387</v>
      </c>
      <c r="V150" s="1">
        <f>7570*9.8/100</f>
        <v>741.86</v>
      </c>
      <c r="W150" s="1">
        <f>18*9.8</f>
        <v>176.4</v>
      </c>
      <c r="X150" t="s">
        <v>40</v>
      </c>
      <c r="Y150">
        <v>70</v>
      </c>
      <c r="Z150">
        <v>2</v>
      </c>
      <c r="AA150">
        <v>6.35</v>
      </c>
      <c r="AB150">
        <v>31.7</v>
      </c>
      <c r="AC150">
        <f>6880*9.8/100</f>
        <v>674.24</v>
      </c>
      <c r="AD150">
        <f>14.3*9.8</f>
        <v>140.14000000000001</v>
      </c>
      <c r="AE150">
        <v>2</v>
      </c>
      <c r="AF150">
        <v>40</v>
      </c>
      <c r="AG150">
        <v>2</v>
      </c>
      <c r="AH150">
        <v>40</v>
      </c>
      <c r="AI150">
        <v>2</v>
      </c>
      <c r="AJ150">
        <v>40</v>
      </c>
      <c r="AK150">
        <v>2</v>
      </c>
      <c r="AL150">
        <v>40</v>
      </c>
      <c r="AN150">
        <v>300</v>
      </c>
      <c r="AO150">
        <v>300</v>
      </c>
      <c r="AP150" t="s">
        <v>62</v>
      </c>
      <c r="AQ150" s="30" t="s">
        <v>177</v>
      </c>
      <c r="AR150">
        <v>12.7</v>
      </c>
      <c r="AS150">
        <v>127</v>
      </c>
      <c r="AT150">
        <f>8100*9.8/100</f>
        <v>793.8</v>
      </c>
      <c r="AU150">
        <f>23.9*9.8</f>
        <v>234.22</v>
      </c>
      <c r="AV150" t="s">
        <v>40</v>
      </c>
      <c r="AW150">
        <v>65</v>
      </c>
      <c r="AX150">
        <v>2</v>
      </c>
      <c r="AY150">
        <v>6.35</v>
      </c>
      <c r="AZ150">
        <v>31.7</v>
      </c>
      <c r="BA150">
        <f>6880*9.8/100</f>
        <v>674.24</v>
      </c>
      <c r="BB150">
        <f>14.3*9.8</f>
        <v>140.14000000000001</v>
      </c>
      <c r="BC150">
        <v>4</v>
      </c>
      <c r="BD150">
        <v>40</v>
      </c>
      <c r="BE150">
        <v>2</v>
      </c>
      <c r="BF150">
        <v>50</v>
      </c>
      <c r="BG150">
        <v>4</v>
      </c>
      <c r="BH150">
        <v>40</v>
      </c>
      <c r="BI150">
        <v>2</v>
      </c>
      <c r="BJ150">
        <v>50</v>
      </c>
      <c r="BL150" s="30">
        <v>0</v>
      </c>
      <c r="BM150" t="s">
        <v>166</v>
      </c>
      <c r="BN150" s="7" t="s">
        <v>952</v>
      </c>
      <c r="BP150" s="30">
        <v>31.7</v>
      </c>
      <c r="BQ150">
        <v>3</v>
      </c>
      <c r="BR150">
        <v>6</v>
      </c>
      <c r="BS150">
        <f>6880*9.8/100</f>
        <v>674.24</v>
      </c>
      <c r="BT150">
        <f>14.3*9.8</f>
        <v>140.14000000000001</v>
      </c>
      <c r="BV150" s="23" t="s">
        <v>777</v>
      </c>
    </row>
    <row r="151" spans="1:74">
      <c r="A151">
        <v>146</v>
      </c>
      <c r="B151" s="1">
        <v>1</v>
      </c>
      <c r="C151" s="17"/>
      <c r="D151" s="17"/>
      <c r="E151" s="17"/>
      <c r="F151" s="17"/>
      <c r="G151" s="17" t="s">
        <v>160</v>
      </c>
      <c r="H151" s="7" t="s">
        <v>220</v>
      </c>
      <c r="I151" s="17">
        <f t="shared" si="92"/>
        <v>98.39200000000001</v>
      </c>
      <c r="J151" s="17">
        <f t="shared" si="92"/>
        <v>98.39200000000001</v>
      </c>
      <c r="K151" s="17">
        <f t="shared" si="92"/>
        <v>98.39200000000001</v>
      </c>
      <c r="L151" s="17">
        <v>2700</v>
      </c>
      <c r="M151" s="17">
        <v>1470</v>
      </c>
      <c r="N151" s="17">
        <v>0</v>
      </c>
      <c r="O151" s="17">
        <f>0.1*1100*9.8/100*300*300/1000</f>
        <v>970.2</v>
      </c>
      <c r="P151" s="17">
        <v>200</v>
      </c>
      <c r="Q151" s="17">
        <v>300</v>
      </c>
      <c r="R151" s="17" t="s">
        <v>162</v>
      </c>
      <c r="S151" s="31" t="s">
        <v>177</v>
      </c>
      <c r="T151" s="17">
        <v>22.2</v>
      </c>
      <c r="U151" s="17">
        <v>387</v>
      </c>
      <c r="V151" s="7">
        <f>7570*9.8/100</f>
        <v>741.86</v>
      </c>
      <c r="W151" s="7">
        <f>18*9.8</f>
        <v>176.4</v>
      </c>
      <c r="X151" s="17" t="s">
        <v>40</v>
      </c>
      <c r="Y151" s="17">
        <v>50</v>
      </c>
      <c r="Z151" s="17">
        <v>2</v>
      </c>
      <c r="AA151" s="17">
        <v>6.35</v>
      </c>
      <c r="AB151" s="17">
        <v>31.7</v>
      </c>
      <c r="AC151" s="17">
        <f>6880*9.8/100</f>
        <v>674.24</v>
      </c>
      <c r="AD151" s="17">
        <f>14.3*9.8</f>
        <v>140.14000000000001</v>
      </c>
      <c r="AE151" s="17">
        <v>3</v>
      </c>
      <c r="AF151" s="17">
        <v>40</v>
      </c>
      <c r="AG151" s="17">
        <v>2</v>
      </c>
      <c r="AH151" s="17">
        <v>40</v>
      </c>
      <c r="AI151" s="17">
        <v>3</v>
      </c>
      <c r="AJ151" s="17">
        <v>40</v>
      </c>
      <c r="AK151" s="17">
        <v>2</v>
      </c>
      <c r="AL151" s="17">
        <v>40</v>
      </c>
      <c r="AM151" s="31"/>
      <c r="AN151" s="17">
        <v>300</v>
      </c>
      <c r="AO151" s="17">
        <v>300</v>
      </c>
      <c r="AP151" s="17" t="s">
        <v>57</v>
      </c>
      <c r="AQ151" s="31" t="s">
        <v>177</v>
      </c>
      <c r="AR151" s="17">
        <v>19.100000000000001</v>
      </c>
      <c r="AS151" s="17">
        <v>287</v>
      </c>
      <c r="AT151" s="17">
        <f>7860*9.8/100</f>
        <v>770.28</v>
      </c>
      <c r="AU151" s="17">
        <f>20.3*9.8</f>
        <v>198.94000000000003</v>
      </c>
      <c r="AV151" s="17" t="s">
        <v>40</v>
      </c>
      <c r="AW151" s="17">
        <v>40</v>
      </c>
      <c r="AX151" s="17">
        <v>2</v>
      </c>
      <c r="AY151" s="17">
        <v>6.35</v>
      </c>
      <c r="AZ151" s="17">
        <v>31.7</v>
      </c>
      <c r="BA151" s="17">
        <f>6880*9.8/100</f>
        <v>674.24</v>
      </c>
      <c r="BB151" s="17">
        <f>14.3*9.8</f>
        <v>140.14000000000001</v>
      </c>
      <c r="BC151" s="17">
        <v>4</v>
      </c>
      <c r="BD151" s="17">
        <v>40</v>
      </c>
      <c r="BE151" s="17">
        <v>2</v>
      </c>
      <c r="BF151" s="17">
        <v>50</v>
      </c>
      <c r="BG151" s="17">
        <v>4</v>
      </c>
      <c r="BH151" s="17">
        <v>40</v>
      </c>
      <c r="BI151" s="17">
        <v>2</v>
      </c>
      <c r="BJ151" s="17">
        <v>50</v>
      </c>
      <c r="BK151" s="31"/>
      <c r="BL151" s="31">
        <v>0</v>
      </c>
      <c r="BM151" s="17" t="s">
        <v>166</v>
      </c>
      <c r="BN151" s="7" t="s">
        <v>952</v>
      </c>
      <c r="BO151" s="31"/>
      <c r="BP151" s="31">
        <v>31.7</v>
      </c>
      <c r="BQ151" s="17">
        <v>3</v>
      </c>
      <c r="BR151" s="17">
        <v>6</v>
      </c>
      <c r="BS151" s="17">
        <f>6880*9.8/100</f>
        <v>674.24</v>
      </c>
      <c r="BT151" s="17">
        <f>14.3*9.8</f>
        <v>140.14000000000001</v>
      </c>
      <c r="BU151" s="86"/>
      <c r="BV151" s="86" t="s">
        <v>777</v>
      </c>
    </row>
    <row r="152" spans="1:74">
      <c r="A152">
        <v>147</v>
      </c>
      <c r="B152" s="1">
        <v>1</v>
      </c>
      <c r="C152">
        <v>39</v>
      </c>
      <c r="D152" t="s">
        <v>45</v>
      </c>
      <c r="E152">
        <v>1992</v>
      </c>
      <c r="F152" t="s">
        <v>27</v>
      </c>
      <c r="G152" t="s">
        <v>160</v>
      </c>
      <c r="H152" s="1" t="s">
        <v>221</v>
      </c>
      <c r="I152">
        <f>944*9.8/100</f>
        <v>92.512</v>
      </c>
      <c r="J152">
        <f>850*9.8/100</f>
        <v>83.3</v>
      </c>
      <c r="K152">
        <f>944*9.8/100</f>
        <v>92.512</v>
      </c>
      <c r="L152">
        <v>3000</v>
      </c>
      <c r="M152">
        <v>2000</v>
      </c>
      <c r="N152">
        <v>0</v>
      </c>
      <c r="O152">
        <f>180*9.8/100*400*400/1000</f>
        <v>2822.4</v>
      </c>
      <c r="P152">
        <v>300</v>
      </c>
      <c r="Q152">
        <v>400</v>
      </c>
      <c r="R152" t="s">
        <v>162</v>
      </c>
      <c r="T152">
        <v>22.2</v>
      </c>
      <c r="U152">
        <v>387</v>
      </c>
      <c r="V152" s="1">
        <f>4300*9.8/100</f>
        <v>421.4</v>
      </c>
      <c r="W152" s="1">
        <f>2100*9.8/100</f>
        <v>205.8</v>
      </c>
      <c r="X152" t="s">
        <v>222</v>
      </c>
      <c r="Y152">
        <v>75</v>
      </c>
      <c r="Z152">
        <v>4</v>
      </c>
      <c r="AA152">
        <v>6.35</v>
      </c>
      <c r="AB152">
        <v>32</v>
      </c>
      <c r="AC152">
        <f>7770*9.8/100</f>
        <v>761.46</v>
      </c>
      <c r="AD152">
        <f>1828*9.8/100</f>
        <v>179.14400000000001</v>
      </c>
      <c r="AE152">
        <v>4</v>
      </c>
      <c r="AF152">
        <v>45</v>
      </c>
      <c r="AG152">
        <v>2</v>
      </c>
      <c r="AH152">
        <v>45</v>
      </c>
      <c r="AI152">
        <v>4</v>
      </c>
      <c r="AJ152">
        <v>45</v>
      </c>
      <c r="AK152">
        <v>2</v>
      </c>
      <c r="AL152">
        <v>45</v>
      </c>
      <c r="AN152">
        <v>400</v>
      </c>
      <c r="AO152">
        <v>400</v>
      </c>
      <c r="AP152" t="s">
        <v>223</v>
      </c>
      <c r="AR152">
        <v>19.100000000000001</v>
      </c>
      <c r="AS152">
        <v>287</v>
      </c>
      <c r="AT152">
        <f>6580*9.8/100</f>
        <v>644.84</v>
      </c>
      <c r="AU152">
        <f>2035*9.8/100</f>
        <v>199.43</v>
      </c>
      <c r="AV152" t="s">
        <v>153</v>
      </c>
      <c r="AW152">
        <v>100</v>
      </c>
      <c r="AX152">
        <v>4</v>
      </c>
      <c r="AY152">
        <v>9.5299999999999994</v>
      </c>
      <c r="AZ152">
        <v>71.3</v>
      </c>
      <c r="BA152">
        <f>3540*9.8/100</f>
        <v>346.92</v>
      </c>
      <c r="BB152">
        <f>1787*9.8/100</f>
        <v>175.12600000000003</v>
      </c>
      <c r="BC152">
        <v>4</v>
      </c>
      <c r="BD152">
        <v>45</v>
      </c>
      <c r="BE152">
        <v>2</v>
      </c>
      <c r="BF152">
        <v>107.5</v>
      </c>
      <c r="BG152">
        <v>4</v>
      </c>
      <c r="BH152">
        <v>45</v>
      </c>
      <c r="BI152">
        <v>2</v>
      </c>
      <c r="BJ152">
        <v>107.5</v>
      </c>
      <c r="BL152" s="30">
        <v>0</v>
      </c>
      <c r="BM152" t="s">
        <v>378</v>
      </c>
      <c r="BN152" t="s">
        <v>780</v>
      </c>
      <c r="BP152" s="30">
        <v>50</v>
      </c>
      <c r="BQ152">
        <v>8</v>
      </c>
      <c r="BR152">
        <v>24</v>
      </c>
      <c r="BS152">
        <f>8130*9.8/100</f>
        <v>796.74</v>
      </c>
      <c r="BT152">
        <f>1943*9.8/100</f>
        <v>190.41400000000002</v>
      </c>
      <c r="BU152" s="23">
        <v>1</v>
      </c>
    </row>
    <row r="153" spans="1:74">
      <c r="A153">
        <v>148</v>
      </c>
      <c r="B153" s="1">
        <v>1</v>
      </c>
      <c r="G153" t="s">
        <v>160</v>
      </c>
      <c r="H153" s="1" t="s">
        <v>224</v>
      </c>
      <c r="I153">
        <f>944*9.8/100</f>
        <v>92.512</v>
      </c>
      <c r="J153">
        <f>850*9.8/100</f>
        <v>83.3</v>
      </c>
      <c r="K153">
        <f>944*9.8/100</f>
        <v>92.512</v>
      </c>
      <c r="L153">
        <v>3000</v>
      </c>
      <c r="M153">
        <v>2000</v>
      </c>
      <c r="N153">
        <v>0</v>
      </c>
      <c r="O153">
        <f>180*9.8/100*400*400/1000</f>
        <v>2822.4</v>
      </c>
      <c r="P153">
        <v>300</v>
      </c>
      <c r="Q153">
        <v>400</v>
      </c>
      <c r="R153" t="s">
        <v>225</v>
      </c>
      <c r="T153">
        <v>22.2</v>
      </c>
      <c r="U153">
        <v>387</v>
      </c>
      <c r="V153" s="1">
        <f>6110*9.8/100</f>
        <v>598.78000000000009</v>
      </c>
      <c r="W153" s="1">
        <f>2040*9.8/100</f>
        <v>199.92</v>
      </c>
      <c r="X153" t="s">
        <v>222</v>
      </c>
      <c r="Y153">
        <v>75</v>
      </c>
      <c r="Z153">
        <v>4</v>
      </c>
      <c r="AA153">
        <v>6.35</v>
      </c>
      <c r="AB153">
        <v>32</v>
      </c>
      <c r="AC153">
        <f>7770*9.8/100</f>
        <v>761.46</v>
      </c>
      <c r="AD153">
        <f>1828*9.8/100</f>
        <v>179.14400000000001</v>
      </c>
      <c r="AE153">
        <v>4</v>
      </c>
      <c r="AF153">
        <v>45</v>
      </c>
      <c r="AG153">
        <v>0</v>
      </c>
      <c r="AH153">
        <v>0</v>
      </c>
      <c r="AI153">
        <v>4</v>
      </c>
      <c r="AJ153">
        <v>45</v>
      </c>
      <c r="AK153">
        <v>0</v>
      </c>
      <c r="AL153">
        <v>0</v>
      </c>
      <c r="AN153">
        <v>400</v>
      </c>
      <c r="AO153">
        <v>400</v>
      </c>
      <c r="AP153" t="s">
        <v>223</v>
      </c>
      <c r="AR153">
        <v>19.100000000000001</v>
      </c>
      <c r="AS153">
        <v>287</v>
      </c>
      <c r="AT153">
        <f>6580*9.8/100</f>
        <v>644.84</v>
      </c>
      <c r="AU153">
        <f>2035*9.8/100</f>
        <v>199.43</v>
      </c>
      <c r="AV153" t="s">
        <v>153</v>
      </c>
      <c r="AW153">
        <v>100</v>
      </c>
      <c r="AX153">
        <v>4</v>
      </c>
      <c r="AY153">
        <v>9.5299999999999994</v>
      </c>
      <c r="AZ153">
        <v>71.3</v>
      </c>
      <c r="BA153">
        <f>3540*9.8/100</f>
        <v>346.92</v>
      </c>
      <c r="BB153">
        <f>1787*9.8/100</f>
        <v>175.12600000000003</v>
      </c>
      <c r="BC153">
        <v>4</v>
      </c>
      <c r="BD153">
        <v>45</v>
      </c>
      <c r="BE153">
        <v>2</v>
      </c>
      <c r="BF153">
        <v>107.5</v>
      </c>
      <c r="BG153">
        <v>4</v>
      </c>
      <c r="BH153">
        <v>45</v>
      </c>
      <c r="BI153">
        <v>2</v>
      </c>
      <c r="BJ153">
        <v>107.5</v>
      </c>
      <c r="BL153" s="30">
        <v>0</v>
      </c>
      <c r="BM153" t="s">
        <v>378</v>
      </c>
      <c r="BN153" t="s">
        <v>780</v>
      </c>
      <c r="BP153" s="30">
        <v>50</v>
      </c>
      <c r="BQ153">
        <v>8</v>
      </c>
      <c r="BR153">
        <v>24</v>
      </c>
      <c r="BS153">
        <f>8130*9.8/100</f>
        <v>796.74</v>
      </c>
      <c r="BT153">
        <f>1943*9.8/100</f>
        <v>190.41400000000002</v>
      </c>
      <c r="BU153" s="23">
        <v>1</v>
      </c>
    </row>
    <row r="154" spans="1:74">
      <c r="A154">
        <v>149</v>
      </c>
      <c r="B154" s="1">
        <v>1</v>
      </c>
      <c r="G154" t="s">
        <v>158</v>
      </c>
      <c r="H154" s="1" t="s">
        <v>226</v>
      </c>
      <c r="I154">
        <f>944*9.8/100</f>
        <v>92.512</v>
      </c>
      <c r="J154">
        <f>850*9.8/100</f>
        <v>83.3</v>
      </c>
      <c r="K154">
        <f>944*9.8/100</f>
        <v>92.512</v>
      </c>
      <c r="L154">
        <v>3000</v>
      </c>
      <c r="M154">
        <v>2000</v>
      </c>
      <c r="N154">
        <v>0</v>
      </c>
      <c r="O154">
        <f>180*9.8/100*400*400/1000</f>
        <v>2822.4</v>
      </c>
      <c r="P154">
        <v>300</v>
      </c>
      <c r="Q154">
        <v>400</v>
      </c>
      <c r="R154" t="s">
        <v>227</v>
      </c>
      <c r="T154">
        <v>19.100000000000001</v>
      </c>
      <c r="U154">
        <v>287</v>
      </c>
      <c r="V154" s="1">
        <f>8750*9.8/100</f>
        <v>857.5</v>
      </c>
      <c r="W154" s="1">
        <f>2031*9.8/100</f>
        <v>199.03800000000004</v>
      </c>
      <c r="X154" t="s">
        <v>222</v>
      </c>
      <c r="Y154">
        <v>75</v>
      </c>
      <c r="Z154">
        <v>4</v>
      </c>
      <c r="AA154">
        <v>6.35</v>
      </c>
      <c r="AB154">
        <v>32</v>
      </c>
      <c r="AC154">
        <f>7770*9.8/100</f>
        <v>761.46</v>
      </c>
      <c r="AD154">
        <f>1828*9.8/100</f>
        <v>179.14400000000001</v>
      </c>
      <c r="AE154">
        <v>4</v>
      </c>
      <c r="AF154">
        <v>45</v>
      </c>
      <c r="AG154">
        <v>0</v>
      </c>
      <c r="AH154">
        <v>0</v>
      </c>
      <c r="AI154">
        <v>4</v>
      </c>
      <c r="AJ154">
        <v>45</v>
      </c>
      <c r="AK154">
        <v>0</v>
      </c>
      <c r="AL154">
        <v>0</v>
      </c>
      <c r="AN154">
        <v>400</v>
      </c>
      <c r="AO154">
        <v>400</v>
      </c>
      <c r="AP154" t="s">
        <v>223</v>
      </c>
      <c r="AR154">
        <v>19.100000000000001</v>
      </c>
      <c r="AS154">
        <v>287</v>
      </c>
      <c r="AT154">
        <f>6580*9.8/100</f>
        <v>644.84</v>
      </c>
      <c r="AU154">
        <f>2035*9.8/100</f>
        <v>199.43</v>
      </c>
      <c r="AV154" t="s">
        <v>153</v>
      </c>
      <c r="AW154">
        <v>100</v>
      </c>
      <c r="AX154">
        <v>4</v>
      </c>
      <c r="AY154">
        <v>9.5299999999999994</v>
      </c>
      <c r="AZ154">
        <v>71.3</v>
      </c>
      <c r="BA154">
        <f>3540*9.8/100</f>
        <v>346.92</v>
      </c>
      <c r="BB154">
        <f>1787*9.8/100</f>
        <v>175.12600000000003</v>
      </c>
      <c r="BC154">
        <v>4</v>
      </c>
      <c r="BD154">
        <v>45</v>
      </c>
      <c r="BE154">
        <v>2</v>
      </c>
      <c r="BF154">
        <v>107.5</v>
      </c>
      <c r="BG154">
        <v>4</v>
      </c>
      <c r="BH154">
        <v>45</v>
      </c>
      <c r="BI154">
        <v>2</v>
      </c>
      <c r="BJ154">
        <v>107.5</v>
      </c>
      <c r="BL154" s="30">
        <v>0</v>
      </c>
      <c r="BM154" t="s">
        <v>378</v>
      </c>
      <c r="BN154" t="s">
        <v>780</v>
      </c>
      <c r="BP154" s="30">
        <v>50</v>
      </c>
      <c r="BQ154">
        <v>8</v>
      </c>
      <c r="BR154">
        <v>24</v>
      </c>
      <c r="BS154">
        <f>8130*9.8/100</f>
        <v>796.74</v>
      </c>
      <c r="BT154">
        <f>1943*9.8/100</f>
        <v>190.41400000000002</v>
      </c>
      <c r="BU154" s="23">
        <v>1</v>
      </c>
    </row>
    <row r="155" spans="1:74">
      <c r="A155">
        <v>150</v>
      </c>
      <c r="B155" s="1">
        <v>2</v>
      </c>
      <c r="C155">
        <v>40</v>
      </c>
      <c r="D155" t="s">
        <v>54</v>
      </c>
      <c r="E155">
        <v>1993</v>
      </c>
      <c r="F155" t="s">
        <v>33</v>
      </c>
      <c r="G155" t="s">
        <v>160</v>
      </c>
      <c r="H155" s="51" t="s">
        <v>228</v>
      </c>
      <c r="I155">
        <f t="shared" ref="I155:K156" si="93">587*9.8/100</f>
        <v>57.526000000000003</v>
      </c>
      <c r="J155">
        <f t="shared" si="93"/>
        <v>57.526000000000003</v>
      </c>
      <c r="K155">
        <f t="shared" si="93"/>
        <v>57.526000000000003</v>
      </c>
      <c r="L155">
        <v>2250</v>
      </c>
      <c r="M155">
        <v>1250</v>
      </c>
      <c r="N155">
        <v>0</v>
      </c>
      <c r="O155">
        <f>0.243*I155*300*400/1000</f>
        <v>1677.4581600000001</v>
      </c>
      <c r="P155">
        <v>260</v>
      </c>
      <c r="Q155">
        <v>350</v>
      </c>
      <c r="R155" t="s">
        <v>57</v>
      </c>
      <c r="T155">
        <v>19.100000000000001</v>
      </c>
      <c r="U155">
        <v>287</v>
      </c>
      <c r="V155" s="1">
        <f>3780*9.8/100</f>
        <v>370.44</v>
      </c>
      <c r="W155" s="1">
        <v>205</v>
      </c>
      <c r="X155" t="s">
        <v>229</v>
      </c>
      <c r="Y155">
        <v>50</v>
      </c>
      <c r="Z155">
        <v>4</v>
      </c>
      <c r="AA155">
        <v>5</v>
      </c>
      <c r="AB155">
        <v>19.600000000000001</v>
      </c>
      <c r="AC155">
        <f>9110*9.8/100</f>
        <v>892.78</v>
      </c>
      <c r="AE155">
        <v>4</v>
      </c>
      <c r="AF155">
        <v>30</v>
      </c>
      <c r="AG155">
        <v>2</v>
      </c>
      <c r="AH155">
        <v>40</v>
      </c>
      <c r="AI155">
        <v>4</v>
      </c>
      <c r="AJ155">
        <v>30</v>
      </c>
      <c r="AK155">
        <v>2</v>
      </c>
      <c r="AL155">
        <v>40</v>
      </c>
      <c r="AN155">
        <v>300</v>
      </c>
      <c r="AO155">
        <v>400</v>
      </c>
      <c r="AP155" t="s">
        <v>57</v>
      </c>
      <c r="AR155">
        <v>19.100000000000001</v>
      </c>
      <c r="AS155">
        <v>287</v>
      </c>
      <c r="AT155">
        <f>3780*9.8/100</f>
        <v>370.44</v>
      </c>
      <c r="AU155">
        <v>205</v>
      </c>
      <c r="AV155" t="s">
        <v>230</v>
      </c>
      <c r="AW155">
        <v>60</v>
      </c>
      <c r="AX155">
        <v>4</v>
      </c>
      <c r="AY155">
        <v>6.3</v>
      </c>
      <c r="AZ155">
        <v>31</v>
      </c>
      <c r="BA155">
        <f>9110*9.8/100</f>
        <v>892.78</v>
      </c>
      <c r="BC155">
        <v>4</v>
      </c>
      <c r="BD155">
        <v>30</v>
      </c>
      <c r="BE155">
        <v>2</v>
      </c>
      <c r="BF155">
        <v>78</v>
      </c>
      <c r="BG155">
        <v>4</v>
      </c>
      <c r="BH155">
        <v>30</v>
      </c>
      <c r="BI155">
        <v>2</v>
      </c>
      <c r="BJ155">
        <v>78</v>
      </c>
      <c r="BL155" s="30">
        <v>2</v>
      </c>
      <c r="BM155" t="s">
        <v>379</v>
      </c>
      <c r="BN155" t="s">
        <v>781</v>
      </c>
      <c r="BQ155">
        <v>2</v>
      </c>
      <c r="BR155">
        <v>8</v>
      </c>
      <c r="BS155">
        <f>9110*9.8/100</f>
        <v>892.78</v>
      </c>
      <c r="BT155">
        <v>205</v>
      </c>
      <c r="BU155" s="23">
        <v>0.49399999999999999</v>
      </c>
    </row>
    <row r="156" spans="1:74">
      <c r="A156">
        <v>151</v>
      </c>
      <c r="B156" s="1">
        <v>1</v>
      </c>
      <c r="G156" t="s">
        <v>158</v>
      </c>
      <c r="H156" s="1" t="s">
        <v>231</v>
      </c>
      <c r="I156">
        <f t="shared" si="93"/>
        <v>57.526000000000003</v>
      </c>
      <c r="J156">
        <f t="shared" si="93"/>
        <v>57.526000000000003</v>
      </c>
      <c r="K156">
        <f t="shared" si="93"/>
        <v>57.526000000000003</v>
      </c>
      <c r="L156">
        <v>2250</v>
      </c>
      <c r="M156">
        <v>1250</v>
      </c>
      <c r="N156">
        <v>0</v>
      </c>
      <c r="O156">
        <f>0.243*I156*300*400/1000</f>
        <v>1677.4581600000001</v>
      </c>
      <c r="P156">
        <v>260</v>
      </c>
      <c r="Q156">
        <v>350</v>
      </c>
      <c r="R156" t="s">
        <v>57</v>
      </c>
      <c r="T156">
        <v>19.100000000000001</v>
      </c>
      <c r="U156">
        <v>287</v>
      </c>
      <c r="V156" s="1">
        <f>3780*9.8/100</f>
        <v>370.44</v>
      </c>
      <c r="W156" s="1">
        <v>205</v>
      </c>
      <c r="X156" t="s">
        <v>229</v>
      </c>
      <c r="Y156">
        <v>50</v>
      </c>
      <c r="Z156">
        <v>4</v>
      </c>
      <c r="AA156">
        <v>5</v>
      </c>
      <c r="AB156">
        <v>19.600000000000001</v>
      </c>
      <c r="AC156">
        <f>9110*9.8/100</f>
        <v>892.78</v>
      </c>
      <c r="AE156">
        <v>4</v>
      </c>
      <c r="AF156">
        <v>30</v>
      </c>
      <c r="AG156">
        <v>0</v>
      </c>
      <c r="AH156">
        <v>0</v>
      </c>
      <c r="AI156">
        <v>4</v>
      </c>
      <c r="AJ156">
        <v>30</v>
      </c>
      <c r="AK156">
        <v>0</v>
      </c>
      <c r="AL156">
        <v>0</v>
      </c>
      <c r="AN156">
        <v>300</v>
      </c>
      <c r="AO156">
        <v>400</v>
      </c>
      <c r="AP156" t="s">
        <v>57</v>
      </c>
      <c r="AR156">
        <v>19.100000000000001</v>
      </c>
      <c r="AS156">
        <v>287</v>
      </c>
      <c r="AT156">
        <f>3780*9.8/100</f>
        <v>370.44</v>
      </c>
      <c r="AU156">
        <v>205</v>
      </c>
      <c r="AV156" t="s">
        <v>230</v>
      </c>
      <c r="AW156">
        <v>60</v>
      </c>
      <c r="AX156">
        <v>4</v>
      </c>
      <c r="AY156">
        <v>6.3</v>
      </c>
      <c r="AZ156">
        <f>31</f>
        <v>31</v>
      </c>
      <c r="BA156">
        <f>9110*9.8/100</f>
        <v>892.78</v>
      </c>
      <c r="BC156">
        <v>4</v>
      </c>
      <c r="BD156">
        <v>30</v>
      </c>
      <c r="BE156">
        <v>2</v>
      </c>
      <c r="BF156">
        <v>78</v>
      </c>
      <c r="BG156">
        <v>4</v>
      </c>
      <c r="BH156">
        <v>30</v>
      </c>
      <c r="BI156">
        <v>2</v>
      </c>
      <c r="BJ156">
        <v>78</v>
      </c>
      <c r="BL156" s="30">
        <v>2</v>
      </c>
      <c r="BM156" t="s">
        <v>379</v>
      </c>
      <c r="BN156" t="s">
        <v>781</v>
      </c>
      <c r="BP156" s="30">
        <v>31</v>
      </c>
      <c r="BQ156">
        <v>3</v>
      </c>
      <c r="BR156">
        <v>12</v>
      </c>
      <c r="BS156">
        <f>9110*9.8/100</f>
        <v>892.78</v>
      </c>
      <c r="BT156">
        <v>205</v>
      </c>
      <c r="BU156" s="23">
        <v>0.47599999999999998</v>
      </c>
    </row>
    <row r="157" spans="1:74">
      <c r="A157">
        <v>152</v>
      </c>
      <c r="B157" s="1">
        <v>2</v>
      </c>
      <c r="G157" t="s">
        <v>160</v>
      </c>
      <c r="H157" s="51" t="s">
        <v>232</v>
      </c>
      <c r="I157">
        <f>577*9.8/100</f>
        <v>56.546000000000006</v>
      </c>
      <c r="J157">
        <f>577*9.8/100</f>
        <v>56.546000000000006</v>
      </c>
      <c r="K157">
        <f>577*9.8/100</f>
        <v>56.546000000000006</v>
      </c>
      <c r="L157">
        <v>2250</v>
      </c>
      <c r="M157">
        <v>1250</v>
      </c>
      <c r="N157">
        <v>0</v>
      </c>
      <c r="O157">
        <f>0.247*I157*300*400/1000</f>
        <v>1676.0234400000002</v>
      </c>
      <c r="P157">
        <v>260</v>
      </c>
      <c r="Q157">
        <v>350</v>
      </c>
      <c r="R157" t="s">
        <v>57</v>
      </c>
      <c r="T157">
        <v>19.100000000000001</v>
      </c>
      <c r="U157">
        <v>287</v>
      </c>
      <c r="V157" s="1">
        <f>3780*9.8/100</f>
        <v>370.44</v>
      </c>
      <c r="W157" s="1">
        <v>205</v>
      </c>
      <c r="X157" t="s">
        <v>229</v>
      </c>
      <c r="Y157">
        <v>50</v>
      </c>
      <c r="Z157">
        <v>4</v>
      </c>
      <c r="AA157">
        <v>5</v>
      </c>
      <c r="AB157">
        <v>19.600000000000001</v>
      </c>
      <c r="AC157">
        <f>9110*9.8/100</f>
        <v>892.78</v>
      </c>
      <c r="AE157">
        <v>4</v>
      </c>
      <c r="AF157">
        <v>30</v>
      </c>
      <c r="AG157">
        <v>4</v>
      </c>
      <c r="AH157">
        <v>40</v>
      </c>
      <c r="AI157">
        <v>4</v>
      </c>
      <c r="AJ157">
        <v>30</v>
      </c>
      <c r="AK157">
        <v>4</v>
      </c>
      <c r="AL157">
        <v>40</v>
      </c>
      <c r="AN157">
        <v>300</v>
      </c>
      <c r="AO157">
        <v>400</v>
      </c>
      <c r="AP157" t="s">
        <v>57</v>
      </c>
      <c r="AR157">
        <v>19.100000000000001</v>
      </c>
      <c r="AS157">
        <v>287</v>
      </c>
      <c r="AT157">
        <f>3780*9.8/100</f>
        <v>370.44</v>
      </c>
      <c r="AU157">
        <v>205</v>
      </c>
      <c r="AV157" t="s">
        <v>230</v>
      </c>
      <c r="AW157">
        <v>60</v>
      </c>
      <c r="AX157">
        <v>4</v>
      </c>
      <c r="AY157">
        <v>6.3</v>
      </c>
      <c r="AZ157">
        <f>31</f>
        <v>31</v>
      </c>
      <c r="BA157">
        <f>9110*9.8/100</f>
        <v>892.78</v>
      </c>
      <c r="BC157">
        <v>4</v>
      </c>
      <c r="BD157">
        <v>30</v>
      </c>
      <c r="BE157">
        <v>2</v>
      </c>
      <c r="BF157">
        <v>78</v>
      </c>
      <c r="BG157">
        <v>4</v>
      </c>
      <c r="BH157">
        <v>30</v>
      </c>
      <c r="BI157">
        <v>2</v>
      </c>
      <c r="BJ157">
        <v>78</v>
      </c>
      <c r="BL157" s="30">
        <v>2</v>
      </c>
      <c r="BM157" t="s">
        <v>379</v>
      </c>
      <c r="BN157" t="s">
        <v>230</v>
      </c>
      <c r="BQ157">
        <v>2</v>
      </c>
      <c r="BR157">
        <v>8</v>
      </c>
      <c r="BS157">
        <f>9110*9.8/100</f>
        <v>892.78</v>
      </c>
      <c r="BT157">
        <v>205</v>
      </c>
      <c r="BU157" s="23">
        <v>0.49399999999999999</v>
      </c>
    </row>
    <row r="158" spans="1:74">
      <c r="A158">
        <v>153</v>
      </c>
      <c r="B158" s="1">
        <v>1</v>
      </c>
      <c r="C158" s="17"/>
      <c r="D158" s="17"/>
      <c r="E158" s="17"/>
      <c r="F158" s="17"/>
      <c r="G158" s="17" t="s">
        <v>160</v>
      </c>
      <c r="H158" s="7" t="s">
        <v>233</v>
      </c>
      <c r="I158" s="17">
        <f t="shared" ref="I158:K159" si="94">563*9.8/100</f>
        <v>55.174000000000007</v>
      </c>
      <c r="J158" s="17">
        <f t="shared" si="94"/>
        <v>55.174000000000007</v>
      </c>
      <c r="K158" s="17">
        <f t="shared" si="94"/>
        <v>55.174000000000007</v>
      </c>
      <c r="L158" s="17">
        <v>2250</v>
      </c>
      <c r="M158" s="17">
        <v>1250</v>
      </c>
      <c r="N158" s="17">
        <v>0</v>
      </c>
      <c r="O158" s="17">
        <f>0.246*I158*300*400/1000</f>
        <v>1628.7364800000003</v>
      </c>
      <c r="P158" s="17">
        <v>260</v>
      </c>
      <c r="Q158" s="17">
        <v>350</v>
      </c>
      <c r="R158" s="17" t="s">
        <v>213</v>
      </c>
      <c r="S158" s="31"/>
      <c r="T158" s="17">
        <v>25.4</v>
      </c>
      <c r="U158" s="17">
        <v>507</v>
      </c>
      <c r="V158" s="7">
        <f>3700*9.8/100</f>
        <v>362.6</v>
      </c>
      <c r="W158" s="7">
        <v>205</v>
      </c>
      <c r="X158" s="17" t="s">
        <v>229</v>
      </c>
      <c r="Y158" s="17">
        <v>50</v>
      </c>
      <c r="Z158" s="17">
        <v>4</v>
      </c>
      <c r="AA158" s="17">
        <v>5</v>
      </c>
      <c r="AB158" s="17">
        <v>19.600000000000001</v>
      </c>
      <c r="AC158" s="17">
        <f>9110*9.8/100</f>
        <v>892.78</v>
      </c>
      <c r="AD158" s="17"/>
      <c r="AE158" s="17">
        <v>4</v>
      </c>
      <c r="AF158" s="17">
        <v>30</v>
      </c>
      <c r="AG158" s="17">
        <v>0</v>
      </c>
      <c r="AH158" s="17">
        <v>0</v>
      </c>
      <c r="AI158" s="17">
        <v>4</v>
      </c>
      <c r="AJ158" s="17">
        <v>30</v>
      </c>
      <c r="AK158" s="17">
        <v>0</v>
      </c>
      <c r="AL158" s="17">
        <v>0</v>
      </c>
      <c r="AM158" s="31"/>
      <c r="AN158" s="17">
        <v>300</v>
      </c>
      <c r="AO158" s="17">
        <v>400</v>
      </c>
      <c r="AP158" s="17" t="s">
        <v>57</v>
      </c>
      <c r="AQ158" s="31"/>
      <c r="AR158" s="17">
        <v>25.4</v>
      </c>
      <c r="AS158" s="17">
        <v>507</v>
      </c>
      <c r="AT158" s="17">
        <f>3700*9.8/100</f>
        <v>362.6</v>
      </c>
      <c r="AU158" s="17">
        <v>205</v>
      </c>
      <c r="AV158" s="17" t="s">
        <v>230</v>
      </c>
      <c r="AW158" s="17">
        <v>60</v>
      </c>
      <c r="AX158" s="17">
        <v>4</v>
      </c>
      <c r="AY158" s="17">
        <v>6.3</v>
      </c>
      <c r="AZ158" s="17">
        <f>31</f>
        <v>31</v>
      </c>
      <c r="BA158" s="17">
        <f>9110*9.8/100</f>
        <v>892.78</v>
      </c>
      <c r="BB158" s="17"/>
      <c r="BC158" s="17">
        <v>4</v>
      </c>
      <c r="BD158" s="17">
        <v>30</v>
      </c>
      <c r="BE158" s="17">
        <v>2</v>
      </c>
      <c r="BF158" s="17">
        <v>78</v>
      </c>
      <c r="BG158" s="17">
        <v>4</v>
      </c>
      <c r="BH158" s="17">
        <v>30</v>
      </c>
      <c r="BI158" s="17">
        <v>2</v>
      </c>
      <c r="BJ158" s="17">
        <v>78</v>
      </c>
      <c r="BK158" s="31"/>
      <c r="BL158" s="31">
        <v>2</v>
      </c>
      <c r="BM158" s="17" t="s">
        <v>379</v>
      </c>
      <c r="BN158" s="17" t="s">
        <v>230</v>
      </c>
      <c r="BO158" s="31"/>
      <c r="BP158" s="31">
        <v>31</v>
      </c>
      <c r="BQ158" s="17">
        <v>3</v>
      </c>
      <c r="BR158" s="17">
        <v>12</v>
      </c>
      <c r="BS158" s="17">
        <f>9110*9.8/100</f>
        <v>892.78</v>
      </c>
      <c r="BT158" s="17">
        <v>205</v>
      </c>
      <c r="BU158" s="86">
        <v>0.499</v>
      </c>
      <c r="BV158" s="17"/>
    </row>
    <row r="159" spans="1:74">
      <c r="A159">
        <v>154</v>
      </c>
      <c r="B159" s="1">
        <v>2</v>
      </c>
      <c r="G159" t="s">
        <v>160</v>
      </c>
      <c r="H159" s="51" t="s">
        <v>234</v>
      </c>
      <c r="I159">
        <f t="shared" si="94"/>
        <v>55.174000000000007</v>
      </c>
      <c r="J159">
        <f t="shared" si="94"/>
        <v>55.174000000000007</v>
      </c>
      <c r="K159">
        <f t="shared" si="94"/>
        <v>55.174000000000007</v>
      </c>
      <c r="L159">
        <v>2250</v>
      </c>
      <c r="M159">
        <v>1250</v>
      </c>
      <c r="N159">
        <v>0</v>
      </c>
      <c r="O159">
        <f>0.246*I159*300*400/1000</f>
        <v>1628.7364800000003</v>
      </c>
      <c r="P159">
        <v>260</v>
      </c>
      <c r="Q159">
        <v>350</v>
      </c>
      <c r="R159" t="s">
        <v>213</v>
      </c>
      <c r="T159">
        <v>25.4</v>
      </c>
      <c r="U159">
        <v>507</v>
      </c>
      <c r="V159" s="1">
        <f>3700*9.8/100</f>
        <v>362.6</v>
      </c>
      <c r="W159" s="1">
        <v>205</v>
      </c>
      <c r="X159" t="s">
        <v>229</v>
      </c>
      <c r="Y159">
        <v>50</v>
      </c>
      <c r="Z159">
        <v>4</v>
      </c>
      <c r="AA159">
        <v>5</v>
      </c>
      <c r="AB159">
        <v>19.600000000000001</v>
      </c>
      <c r="AC159">
        <f>9110*9.8/100</f>
        <v>892.78</v>
      </c>
      <c r="AE159">
        <v>4</v>
      </c>
      <c r="AF159">
        <v>30</v>
      </c>
      <c r="AG159">
        <v>1</v>
      </c>
      <c r="AH159">
        <v>40</v>
      </c>
      <c r="AI159">
        <v>4</v>
      </c>
      <c r="AJ159">
        <v>30</v>
      </c>
      <c r="AK159">
        <v>1</v>
      </c>
      <c r="AL159">
        <v>40</v>
      </c>
      <c r="AN159">
        <v>300</v>
      </c>
      <c r="AO159">
        <v>400</v>
      </c>
      <c r="AP159" t="s">
        <v>57</v>
      </c>
      <c r="AR159">
        <v>25.4</v>
      </c>
      <c r="AS159">
        <v>507</v>
      </c>
      <c r="AT159">
        <f>3700*9.8/100</f>
        <v>362.6</v>
      </c>
      <c r="AU159">
        <v>205</v>
      </c>
      <c r="AV159" t="s">
        <v>230</v>
      </c>
      <c r="AW159">
        <v>60</v>
      </c>
      <c r="AX159">
        <v>4</v>
      </c>
      <c r="AY159">
        <v>6.3</v>
      </c>
      <c r="AZ159">
        <f>31</f>
        <v>31</v>
      </c>
      <c r="BA159">
        <f>9110*9.8/100</f>
        <v>892.78</v>
      </c>
      <c r="BC159">
        <v>4</v>
      </c>
      <c r="BD159">
        <v>30</v>
      </c>
      <c r="BE159">
        <v>2</v>
      </c>
      <c r="BF159">
        <v>78</v>
      </c>
      <c r="BG159">
        <v>4</v>
      </c>
      <c r="BH159">
        <v>30</v>
      </c>
      <c r="BI159">
        <v>2</v>
      </c>
      <c r="BJ159">
        <v>78</v>
      </c>
      <c r="BL159" s="30">
        <v>2</v>
      </c>
      <c r="BM159" t="s">
        <v>379</v>
      </c>
      <c r="BN159" t="s">
        <v>230</v>
      </c>
      <c r="BQ159">
        <v>2</v>
      </c>
      <c r="BR159">
        <v>8</v>
      </c>
      <c r="BS159">
        <f>9110*9.8/100</f>
        <v>892.78</v>
      </c>
      <c r="BT159">
        <v>205</v>
      </c>
      <c r="BU159" s="23">
        <v>0.65500000000000003</v>
      </c>
    </row>
    <row r="160" spans="1:74">
      <c r="A160">
        <v>155</v>
      </c>
      <c r="B160" s="1">
        <v>1</v>
      </c>
      <c r="C160">
        <v>41</v>
      </c>
      <c r="D160" t="s">
        <v>37</v>
      </c>
      <c r="E160">
        <v>1993</v>
      </c>
      <c r="F160" t="s">
        <v>33</v>
      </c>
      <c r="G160" t="s">
        <v>158</v>
      </c>
      <c r="H160" s="1" t="s">
        <v>235</v>
      </c>
      <c r="I160">
        <f t="shared" ref="I160:I165" si="95">553*9.8/100</f>
        <v>54.194000000000003</v>
      </c>
      <c r="J160">
        <f t="shared" ref="J160:J165" si="96">554*9.8/100</f>
        <v>54.292000000000009</v>
      </c>
      <c r="K160">
        <f t="shared" ref="K160:K165" si="97">553*9.8/100</f>
        <v>54.194000000000003</v>
      </c>
      <c r="L160">
        <v>3000</v>
      </c>
      <c r="M160">
        <v>2000</v>
      </c>
      <c r="N160">
        <v>0</v>
      </c>
      <c r="O160">
        <f t="shared" ref="O160:O165" si="98">0.2*500*9.8/100*400*400/1000</f>
        <v>1568.0000000000002</v>
      </c>
      <c r="P160">
        <v>300</v>
      </c>
      <c r="Q160">
        <v>400</v>
      </c>
      <c r="R160" t="s">
        <v>57</v>
      </c>
      <c r="T160">
        <v>19.100000000000001</v>
      </c>
      <c r="U160">
        <v>287</v>
      </c>
      <c r="V160" s="1">
        <f>3900*9.8/100</f>
        <v>382.2</v>
      </c>
      <c r="W160" s="1">
        <f>18.97*9.8</f>
        <v>185.90600000000001</v>
      </c>
      <c r="X160" t="s">
        <v>40</v>
      </c>
      <c r="Y160">
        <v>75</v>
      </c>
      <c r="Z160">
        <v>4</v>
      </c>
      <c r="AA160">
        <v>6.35</v>
      </c>
      <c r="AB160">
        <v>31.7</v>
      </c>
      <c r="AC160">
        <f>3180*9.8/100</f>
        <v>311.64000000000004</v>
      </c>
      <c r="AD160">
        <f>15.8*9.8</f>
        <v>154.84000000000003</v>
      </c>
      <c r="AE160">
        <v>4</v>
      </c>
      <c r="AF160">
        <v>45</v>
      </c>
      <c r="AG160">
        <v>0</v>
      </c>
      <c r="AH160">
        <v>0</v>
      </c>
      <c r="AI160">
        <v>4</v>
      </c>
      <c r="AJ160">
        <v>45</v>
      </c>
      <c r="AK160">
        <v>0</v>
      </c>
      <c r="AL160">
        <v>0</v>
      </c>
      <c r="AN160">
        <v>400</v>
      </c>
      <c r="AO160">
        <v>400</v>
      </c>
      <c r="AP160" t="s">
        <v>57</v>
      </c>
      <c r="AR160">
        <v>19.100000000000001</v>
      </c>
      <c r="AS160">
        <v>287</v>
      </c>
      <c r="AT160">
        <f t="shared" ref="AT160:AT165" si="99">3900*9.8/100</f>
        <v>382.2</v>
      </c>
      <c r="AU160">
        <f t="shared" ref="AU160:AU165" si="100">18.97*9.8</f>
        <v>185.90600000000001</v>
      </c>
      <c r="AV160" t="s">
        <v>153</v>
      </c>
      <c r="AW160">
        <v>100</v>
      </c>
      <c r="AX160">
        <v>3</v>
      </c>
      <c r="AY160">
        <v>9.5299999999999994</v>
      </c>
      <c r="AZ160">
        <v>71.3</v>
      </c>
      <c r="BA160">
        <f t="shared" ref="BA160:BA165" si="101">3540*9.8/100</f>
        <v>346.92</v>
      </c>
      <c r="BB160">
        <f t="shared" ref="BB160:BB165" si="102">17.87*9.8</f>
        <v>175.12600000000003</v>
      </c>
      <c r="BC160">
        <v>4</v>
      </c>
      <c r="BD160">
        <v>45</v>
      </c>
      <c r="BE160">
        <v>2</v>
      </c>
      <c r="BF160">
        <v>92.5</v>
      </c>
      <c r="BG160">
        <v>4</v>
      </c>
      <c r="BH160">
        <v>45</v>
      </c>
      <c r="BI160">
        <v>2</v>
      </c>
      <c r="BJ160">
        <v>92.5</v>
      </c>
      <c r="BL160" s="30">
        <v>0</v>
      </c>
      <c r="BM160" t="s">
        <v>166</v>
      </c>
      <c r="BN160" s="7" t="s">
        <v>953</v>
      </c>
      <c r="BP160" s="30">
        <v>71.3</v>
      </c>
      <c r="BQ160">
        <v>4</v>
      </c>
      <c r="BR160">
        <v>8</v>
      </c>
      <c r="BS160">
        <f t="shared" ref="BS160:BS165" si="103">3540*9.8/100</f>
        <v>346.92</v>
      </c>
      <c r="BT160">
        <f t="shared" ref="BT160:BT165" si="104">17.87*9.8</f>
        <v>175.12600000000003</v>
      </c>
      <c r="BV160" s="23" t="s">
        <v>777</v>
      </c>
    </row>
    <row r="161" spans="1:74">
      <c r="A161">
        <v>156</v>
      </c>
      <c r="B161" s="1">
        <v>2</v>
      </c>
      <c r="G161" t="s">
        <v>158</v>
      </c>
      <c r="H161" s="52" t="s">
        <v>236</v>
      </c>
      <c r="I161">
        <f t="shared" si="95"/>
        <v>54.194000000000003</v>
      </c>
      <c r="J161">
        <f t="shared" si="96"/>
        <v>54.292000000000009</v>
      </c>
      <c r="K161">
        <f t="shared" si="97"/>
        <v>54.194000000000003</v>
      </c>
      <c r="L161">
        <v>3000</v>
      </c>
      <c r="M161">
        <v>2000</v>
      </c>
      <c r="N161">
        <v>0</v>
      </c>
      <c r="O161">
        <f t="shared" si="98"/>
        <v>1568.0000000000002</v>
      </c>
      <c r="P161">
        <v>300</v>
      </c>
      <c r="Q161">
        <v>400</v>
      </c>
      <c r="R161" t="s">
        <v>170</v>
      </c>
      <c r="T161">
        <v>15.9</v>
      </c>
      <c r="U161">
        <v>199</v>
      </c>
      <c r="V161" s="1">
        <f>6360*9.8/100</f>
        <v>623.28000000000009</v>
      </c>
      <c r="W161" s="1">
        <f>18.32*9.8</f>
        <v>179.53600000000003</v>
      </c>
      <c r="X161" t="s">
        <v>40</v>
      </c>
      <c r="Y161">
        <v>75</v>
      </c>
      <c r="Z161">
        <v>4</v>
      </c>
      <c r="AA161">
        <v>6.35</v>
      </c>
      <c r="AB161">
        <v>31.7</v>
      </c>
      <c r="AC161">
        <f>3180*9.8/100</f>
        <v>311.64000000000004</v>
      </c>
      <c r="AD161">
        <f>15.8*9.8</f>
        <v>154.84000000000003</v>
      </c>
      <c r="AE161">
        <v>4</v>
      </c>
      <c r="AF161">
        <v>45</v>
      </c>
      <c r="AG161">
        <v>0</v>
      </c>
      <c r="AH161">
        <v>0</v>
      </c>
      <c r="AI161">
        <v>4</v>
      </c>
      <c r="AJ161">
        <v>45</v>
      </c>
      <c r="AK161">
        <v>0</v>
      </c>
      <c r="AL161">
        <v>0</v>
      </c>
      <c r="AN161">
        <v>400</v>
      </c>
      <c r="AO161">
        <v>400</v>
      </c>
      <c r="AP161" t="s">
        <v>57</v>
      </c>
      <c r="AR161">
        <v>19.100000000000001</v>
      </c>
      <c r="AS161">
        <v>287</v>
      </c>
      <c r="AT161">
        <f t="shared" si="99"/>
        <v>382.2</v>
      </c>
      <c r="AU161">
        <f t="shared" si="100"/>
        <v>185.90600000000001</v>
      </c>
      <c r="AV161" t="s">
        <v>153</v>
      </c>
      <c r="AW161">
        <v>100</v>
      </c>
      <c r="AX161">
        <v>3</v>
      </c>
      <c r="AY161">
        <v>9.5299999999999994</v>
      </c>
      <c r="AZ161">
        <v>71.3</v>
      </c>
      <c r="BA161">
        <f t="shared" si="101"/>
        <v>346.92</v>
      </c>
      <c r="BB161">
        <f t="shared" si="102"/>
        <v>175.12600000000003</v>
      </c>
      <c r="BC161">
        <v>4</v>
      </c>
      <c r="BD161">
        <v>45</v>
      </c>
      <c r="BE161">
        <v>2</v>
      </c>
      <c r="BF161">
        <v>92.5</v>
      </c>
      <c r="BG161">
        <v>4</v>
      </c>
      <c r="BH161">
        <v>45</v>
      </c>
      <c r="BI161">
        <v>2</v>
      </c>
      <c r="BJ161">
        <v>92.5</v>
      </c>
      <c r="BL161" s="30">
        <v>0</v>
      </c>
      <c r="BM161" t="s">
        <v>166</v>
      </c>
      <c r="BQ161">
        <v>4</v>
      </c>
      <c r="BR161">
        <v>8</v>
      </c>
      <c r="BS161">
        <f t="shared" si="103"/>
        <v>346.92</v>
      </c>
      <c r="BT161">
        <f t="shared" si="104"/>
        <v>175.12600000000003</v>
      </c>
      <c r="BV161" s="23" t="s">
        <v>777</v>
      </c>
    </row>
    <row r="162" spans="1:74">
      <c r="A162">
        <v>157</v>
      </c>
      <c r="B162" s="1">
        <v>1</v>
      </c>
      <c r="G162" t="s">
        <v>158</v>
      </c>
      <c r="H162" s="1" t="s">
        <v>237</v>
      </c>
      <c r="I162">
        <f t="shared" si="95"/>
        <v>54.194000000000003</v>
      </c>
      <c r="J162">
        <f t="shared" si="96"/>
        <v>54.292000000000009</v>
      </c>
      <c r="K162">
        <f t="shared" si="97"/>
        <v>54.194000000000003</v>
      </c>
      <c r="L162">
        <v>3000</v>
      </c>
      <c r="M162">
        <v>2000</v>
      </c>
      <c r="N162">
        <v>0</v>
      </c>
      <c r="O162">
        <f t="shared" si="98"/>
        <v>1568.0000000000002</v>
      </c>
      <c r="P162">
        <v>300</v>
      </c>
      <c r="Q162">
        <v>400</v>
      </c>
      <c r="R162" t="s">
        <v>227</v>
      </c>
      <c r="T162">
        <v>19.100000000000001</v>
      </c>
      <c r="U162">
        <v>287</v>
      </c>
      <c r="V162" s="1">
        <f>8750*9.8/100</f>
        <v>857.5</v>
      </c>
      <c r="W162" s="1">
        <f>20.35*9.8</f>
        <v>199.43000000000004</v>
      </c>
      <c r="X162" t="s">
        <v>153</v>
      </c>
      <c r="Y162">
        <v>85</v>
      </c>
      <c r="Z162">
        <v>2</v>
      </c>
      <c r="AA162">
        <v>9.5299999999999994</v>
      </c>
      <c r="AB162">
        <v>71.3</v>
      </c>
      <c r="AC162">
        <f>3540*9.8/100</f>
        <v>346.92</v>
      </c>
      <c r="AD162">
        <f>17.87*9.8</f>
        <v>175.12600000000003</v>
      </c>
      <c r="AE162">
        <v>2</v>
      </c>
      <c r="AF162">
        <v>45</v>
      </c>
      <c r="AG162">
        <v>0</v>
      </c>
      <c r="AH162">
        <v>0</v>
      </c>
      <c r="AI162">
        <v>2</v>
      </c>
      <c r="AJ162">
        <v>45</v>
      </c>
      <c r="AK162">
        <v>0</v>
      </c>
      <c r="AL162">
        <v>0</v>
      </c>
      <c r="AN162">
        <v>400</v>
      </c>
      <c r="AO162">
        <v>400</v>
      </c>
      <c r="AP162" t="s">
        <v>57</v>
      </c>
      <c r="AR162">
        <v>19.100000000000001</v>
      </c>
      <c r="AS162">
        <v>287</v>
      </c>
      <c r="AT162">
        <f t="shared" si="99"/>
        <v>382.2</v>
      </c>
      <c r="AU162">
        <f t="shared" si="100"/>
        <v>185.90600000000001</v>
      </c>
      <c r="AV162" t="s">
        <v>153</v>
      </c>
      <c r="AW162">
        <v>100</v>
      </c>
      <c r="AX162">
        <v>3</v>
      </c>
      <c r="AY162">
        <v>9.5299999999999994</v>
      </c>
      <c r="AZ162">
        <v>71.3</v>
      </c>
      <c r="BA162">
        <f t="shared" si="101"/>
        <v>346.92</v>
      </c>
      <c r="BB162">
        <f t="shared" si="102"/>
        <v>175.12600000000003</v>
      </c>
      <c r="BC162">
        <v>4</v>
      </c>
      <c r="BD162">
        <v>45</v>
      </c>
      <c r="BE162">
        <v>2</v>
      </c>
      <c r="BF162">
        <v>92.5</v>
      </c>
      <c r="BG162">
        <v>4</v>
      </c>
      <c r="BH162">
        <v>45</v>
      </c>
      <c r="BI162">
        <v>2</v>
      </c>
      <c r="BJ162">
        <v>92.5</v>
      </c>
      <c r="BL162" s="30">
        <v>0</v>
      </c>
      <c r="BM162" t="s">
        <v>166</v>
      </c>
      <c r="BN162" s="7" t="s">
        <v>953</v>
      </c>
      <c r="BP162" s="30">
        <v>71.3</v>
      </c>
      <c r="BQ162">
        <v>4</v>
      </c>
      <c r="BR162">
        <v>8</v>
      </c>
      <c r="BS162">
        <f t="shared" si="103"/>
        <v>346.92</v>
      </c>
      <c r="BT162">
        <f t="shared" si="104"/>
        <v>175.12600000000003</v>
      </c>
      <c r="BV162" s="23" t="s">
        <v>777</v>
      </c>
    </row>
    <row r="163" spans="1:74">
      <c r="A163">
        <v>158</v>
      </c>
      <c r="B163" s="1">
        <v>1</v>
      </c>
      <c r="G163" t="s">
        <v>160</v>
      </c>
      <c r="H163" s="1" t="s">
        <v>721</v>
      </c>
      <c r="I163">
        <f t="shared" si="95"/>
        <v>54.194000000000003</v>
      </c>
      <c r="J163">
        <f t="shared" si="96"/>
        <v>54.292000000000009</v>
      </c>
      <c r="K163">
        <f t="shared" si="97"/>
        <v>54.194000000000003</v>
      </c>
      <c r="L163">
        <v>3000</v>
      </c>
      <c r="M163">
        <v>2000</v>
      </c>
      <c r="N163">
        <v>0</v>
      </c>
      <c r="O163">
        <f t="shared" si="98"/>
        <v>1568.0000000000002</v>
      </c>
      <c r="P163">
        <v>300</v>
      </c>
      <c r="Q163">
        <v>400</v>
      </c>
      <c r="R163" t="s">
        <v>57</v>
      </c>
      <c r="T163">
        <v>19.100000000000001</v>
      </c>
      <c r="U163">
        <v>287</v>
      </c>
      <c r="V163" s="1">
        <f>3900*9.8/100</f>
        <v>382.2</v>
      </c>
      <c r="W163" s="1">
        <f>18.97*9.8</f>
        <v>185.90600000000001</v>
      </c>
      <c r="X163" t="s">
        <v>222</v>
      </c>
      <c r="Y163">
        <v>100</v>
      </c>
      <c r="Z163">
        <v>4</v>
      </c>
      <c r="AA163">
        <v>6.35</v>
      </c>
      <c r="AB163">
        <v>32</v>
      </c>
      <c r="AC163">
        <f>7770*9.8/100</f>
        <v>761.46</v>
      </c>
      <c r="AD163">
        <f>18.28*9.8</f>
        <v>179.14400000000003</v>
      </c>
      <c r="AE163">
        <v>4</v>
      </c>
      <c r="AF163">
        <v>45</v>
      </c>
      <c r="AG163">
        <v>2</v>
      </c>
      <c r="AH163">
        <v>45</v>
      </c>
      <c r="AI163">
        <v>4</v>
      </c>
      <c r="AJ163">
        <v>45</v>
      </c>
      <c r="AK163">
        <v>2</v>
      </c>
      <c r="AL163">
        <v>45</v>
      </c>
      <c r="AN163">
        <v>400</v>
      </c>
      <c r="AO163">
        <v>400</v>
      </c>
      <c r="AP163" t="s">
        <v>57</v>
      </c>
      <c r="AR163">
        <v>19.100000000000001</v>
      </c>
      <c r="AS163">
        <v>287</v>
      </c>
      <c r="AT163">
        <f t="shared" si="99"/>
        <v>382.2</v>
      </c>
      <c r="AU163">
        <f t="shared" si="100"/>
        <v>185.90600000000001</v>
      </c>
      <c r="AV163" t="s">
        <v>153</v>
      </c>
      <c r="AW163">
        <v>100</v>
      </c>
      <c r="AX163">
        <v>3</v>
      </c>
      <c r="AY163">
        <v>9.5299999999999994</v>
      </c>
      <c r="AZ163">
        <v>71.3</v>
      </c>
      <c r="BA163">
        <f t="shared" si="101"/>
        <v>346.92</v>
      </c>
      <c r="BB163">
        <f t="shared" si="102"/>
        <v>175.12600000000003</v>
      </c>
      <c r="BC163">
        <v>4</v>
      </c>
      <c r="BD163">
        <v>45</v>
      </c>
      <c r="BE163">
        <v>2</v>
      </c>
      <c r="BF163">
        <v>92.5</v>
      </c>
      <c r="BG163">
        <v>4</v>
      </c>
      <c r="BH163">
        <v>45</v>
      </c>
      <c r="BI163">
        <v>2</v>
      </c>
      <c r="BJ163">
        <v>92.5</v>
      </c>
      <c r="BL163" s="30">
        <v>0</v>
      </c>
      <c r="BM163" t="s">
        <v>166</v>
      </c>
      <c r="BN163" s="7" t="s">
        <v>953</v>
      </c>
      <c r="BP163" s="30">
        <v>71.3</v>
      </c>
      <c r="BQ163">
        <v>4</v>
      </c>
      <c r="BR163">
        <v>8</v>
      </c>
      <c r="BS163">
        <f t="shared" si="103"/>
        <v>346.92</v>
      </c>
      <c r="BT163">
        <f t="shared" si="104"/>
        <v>175.12600000000003</v>
      </c>
      <c r="BV163" s="23" t="s">
        <v>777</v>
      </c>
    </row>
    <row r="164" spans="1:74">
      <c r="A164">
        <v>159</v>
      </c>
      <c r="B164" s="1">
        <v>2</v>
      </c>
      <c r="G164" t="s">
        <v>160</v>
      </c>
      <c r="H164" s="52" t="s">
        <v>238</v>
      </c>
      <c r="I164">
        <f t="shared" si="95"/>
        <v>54.194000000000003</v>
      </c>
      <c r="J164">
        <f t="shared" si="96"/>
        <v>54.292000000000009</v>
      </c>
      <c r="K164">
        <f t="shared" si="97"/>
        <v>54.194000000000003</v>
      </c>
      <c r="L164">
        <v>3000</v>
      </c>
      <c r="M164">
        <v>2000</v>
      </c>
      <c r="N164">
        <v>0</v>
      </c>
      <c r="O164">
        <f t="shared" si="98"/>
        <v>1568.0000000000002</v>
      </c>
      <c r="P164">
        <v>300</v>
      </c>
      <c r="Q164">
        <v>400</v>
      </c>
      <c r="R164" t="s">
        <v>170</v>
      </c>
      <c r="T164">
        <v>15.9</v>
      </c>
      <c r="U164">
        <v>199</v>
      </c>
      <c r="V164" s="1">
        <f>6360*9.8/100</f>
        <v>623.28000000000009</v>
      </c>
      <c r="W164" s="1">
        <f>18.32*9.8</f>
        <v>179.53600000000003</v>
      </c>
      <c r="X164" t="s">
        <v>222</v>
      </c>
      <c r="Y164">
        <v>100</v>
      </c>
      <c r="Z164">
        <v>4</v>
      </c>
      <c r="AA164">
        <v>6.35</v>
      </c>
      <c r="AB164">
        <v>32</v>
      </c>
      <c r="AC164">
        <f>7770*9.8/100</f>
        <v>761.46</v>
      </c>
      <c r="AD164">
        <f>18.28*9.8</f>
        <v>179.14400000000003</v>
      </c>
      <c r="AE164">
        <v>4</v>
      </c>
      <c r="AF164">
        <v>45</v>
      </c>
      <c r="AG164">
        <v>0</v>
      </c>
      <c r="AH164">
        <v>0</v>
      </c>
      <c r="AI164">
        <v>4</v>
      </c>
      <c r="AJ164">
        <v>45</v>
      </c>
      <c r="AK164">
        <v>0</v>
      </c>
      <c r="AL164">
        <v>0</v>
      </c>
      <c r="AN164">
        <v>400</v>
      </c>
      <c r="AO164">
        <v>400</v>
      </c>
      <c r="AP164" t="s">
        <v>57</v>
      </c>
      <c r="AR164">
        <v>19.100000000000001</v>
      </c>
      <c r="AS164">
        <v>287</v>
      </c>
      <c r="AT164">
        <f t="shared" si="99"/>
        <v>382.2</v>
      </c>
      <c r="AU164">
        <f t="shared" si="100"/>
        <v>185.90600000000001</v>
      </c>
      <c r="AV164" t="s">
        <v>153</v>
      </c>
      <c r="AW164">
        <v>100</v>
      </c>
      <c r="AX164">
        <v>3</v>
      </c>
      <c r="AY164">
        <v>9.5299999999999994</v>
      </c>
      <c r="AZ164">
        <v>71.3</v>
      </c>
      <c r="BA164">
        <f t="shared" si="101"/>
        <v>346.92</v>
      </c>
      <c r="BB164">
        <f t="shared" si="102"/>
        <v>175.12600000000003</v>
      </c>
      <c r="BC164">
        <v>4</v>
      </c>
      <c r="BD164">
        <v>45</v>
      </c>
      <c r="BE164">
        <v>2</v>
      </c>
      <c r="BF164">
        <v>92.5</v>
      </c>
      <c r="BG164">
        <v>4</v>
      </c>
      <c r="BH164">
        <v>45</v>
      </c>
      <c r="BI164">
        <v>2</v>
      </c>
      <c r="BJ164">
        <v>92.5</v>
      </c>
      <c r="BL164" s="30">
        <v>0</v>
      </c>
      <c r="BM164" t="s">
        <v>166</v>
      </c>
      <c r="BQ164">
        <v>4</v>
      </c>
      <c r="BR164">
        <v>8</v>
      </c>
      <c r="BS164">
        <f t="shared" si="103"/>
        <v>346.92</v>
      </c>
      <c r="BT164">
        <f t="shared" si="104"/>
        <v>175.12600000000003</v>
      </c>
      <c r="BV164" s="23" t="s">
        <v>777</v>
      </c>
    </row>
    <row r="165" spans="1:74">
      <c r="A165">
        <v>160</v>
      </c>
      <c r="B165" s="1">
        <v>2</v>
      </c>
      <c r="G165" t="s">
        <v>160</v>
      </c>
      <c r="H165" s="52" t="s">
        <v>239</v>
      </c>
      <c r="I165">
        <f t="shared" si="95"/>
        <v>54.194000000000003</v>
      </c>
      <c r="J165">
        <f t="shared" si="96"/>
        <v>54.292000000000009</v>
      </c>
      <c r="K165">
        <f t="shared" si="97"/>
        <v>54.194000000000003</v>
      </c>
      <c r="L165">
        <v>3000</v>
      </c>
      <c r="M165">
        <v>2000</v>
      </c>
      <c r="N165">
        <v>0</v>
      </c>
      <c r="O165">
        <f t="shared" si="98"/>
        <v>1568.0000000000002</v>
      </c>
      <c r="P165">
        <v>300</v>
      </c>
      <c r="Q165">
        <v>400</v>
      </c>
      <c r="R165" t="s">
        <v>227</v>
      </c>
      <c r="T165">
        <v>19.100000000000001</v>
      </c>
      <c r="U165">
        <v>287</v>
      </c>
      <c r="V165" s="1">
        <f>8750*9.8/100</f>
        <v>857.5</v>
      </c>
      <c r="W165" s="1">
        <f>20.35*9.8</f>
        <v>199.43000000000004</v>
      </c>
      <c r="X165" t="s">
        <v>222</v>
      </c>
      <c r="Y165">
        <v>75</v>
      </c>
      <c r="Z165">
        <v>3</v>
      </c>
      <c r="AA165">
        <v>6.35</v>
      </c>
      <c r="AB165">
        <v>32</v>
      </c>
      <c r="AC165">
        <f>7770*9.8/100</f>
        <v>761.46</v>
      </c>
      <c r="AD165">
        <f>18.28*9.8</f>
        <v>179.14400000000003</v>
      </c>
      <c r="AE165">
        <v>3</v>
      </c>
      <c r="AF165">
        <v>45</v>
      </c>
      <c r="AG165">
        <v>0</v>
      </c>
      <c r="AH165">
        <v>0</v>
      </c>
      <c r="AI165">
        <v>3</v>
      </c>
      <c r="AJ165">
        <v>45</v>
      </c>
      <c r="AK165">
        <v>0</v>
      </c>
      <c r="AL165">
        <v>0</v>
      </c>
      <c r="AN165">
        <v>400</v>
      </c>
      <c r="AO165">
        <v>400</v>
      </c>
      <c r="AP165" t="s">
        <v>57</v>
      </c>
      <c r="AR165">
        <v>19.100000000000001</v>
      </c>
      <c r="AS165">
        <v>287</v>
      </c>
      <c r="AT165">
        <f t="shared" si="99"/>
        <v>382.2</v>
      </c>
      <c r="AU165">
        <f t="shared" si="100"/>
        <v>185.90600000000001</v>
      </c>
      <c r="AV165" t="s">
        <v>153</v>
      </c>
      <c r="AW165">
        <v>100</v>
      </c>
      <c r="AX165">
        <v>3</v>
      </c>
      <c r="AY165">
        <v>9.5299999999999994</v>
      </c>
      <c r="AZ165">
        <v>71.3</v>
      </c>
      <c r="BA165">
        <f t="shared" si="101"/>
        <v>346.92</v>
      </c>
      <c r="BB165">
        <f t="shared" si="102"/>
        <v>175.12600000000003</v>
      </c>
      <c r="BC165">
        <v>4</v>
      </c>
      <c r="BD165">
        <v>45</v>
      </c>
      <c r="BE165">
        <v>2</v>
      </c>
      <c r="BF165">
        <v>92.5</v>
      </c>
      <c r="BG165">
        <v>4</v>
      </c>
      <c r="BH165">
        <v>45</v>
      </c>
      <c r="BI165">
        <v>2</v>
      </c>
      <c r="BJ165">
        <v>92.5</v>
      </c>
      <c r="BL165" s="30">
        <v>0</v>
      </c>
      <c r="BM165" t="s">
        <v>166</v>
      </c>
      <c r="BQ165">
        <v>4</v>
      </c>
      <c r="BR165">
        <v>8</v>
      </c>
      <c r="BS165">
        <f t="shared" si="103"/>
        <v>346.92</v>
      </c>
      <c r="BT165">
        <f t="shared" si="104"/>
        <v>175.12600000000003</v>
      </c>
      <c r="BV165" s="23" t="s">
        <v>777</v>
      </c>
    </row>
    <row r="166" spans="1:74">
      <c r="A166">
        <v>161</v>
      </c>
      <c r="B166" s="1">
        <v>1</v>
      </c>
      <c r="C166">
        <v>42</v>
      </c>
      <c r="D166" t="s">
        <v>66</v>
      </c>
      <c r="E166">
        <v>1993</v>
      </c>
      <c r="F166" t="s">
        <v>27</v>
      </c>
      <c r="G166" t="s">
        <v>158</v>
      </c>
      <c r="H166" s="1" t="s">
        <v>240</v>
      </c>
      <c r="I166">
        <f t="shared" ref="I166:K167" si="105">465*9.8/100</f>
        <v>45.57</v>
      </c>
      <c r="J166">
        <f t="shared" si="105"/>
        <v>45.57</v>
      </c>
      <c r="K166">
        <f t="shared" si="105"/>
        <v>45.57</v>
      </c>
      <c r="L166">
        <v>2700</v>
      </c>
      <c r="M166">
        <v>1470</v>
      </c>
      <c r="N166">
        <v>0</v>
      </c>
      <c r="O166">
        <f>18*9.8</f>
        <v>176.4</v>
      </c>
      <c r="P166">
        <v>200</v>
      </c>
      <c r="Q166">
        <v>300</v>
      </c>
      <c r="R166" t="s">
        <v>62</v>
      </c>
      <c r="T166">
        <v>12.7</v>
      </c>
      <c r="U166">
        <v>127</v>
      </c>
      <c r="V166" s="1">
        <f>3955*9.8/100</f>
        <v>387.59</v>
      </c>
      <c r="W166" s="1">
        <f>1793*9.8/100</f>
        <v>175.71400000000003</v>
      </c>
      <c r="X166" t="s">
        <v>40</v>
      </c>
      <c r="Y166">
        <v>40</v>
      </c>
      <c r="Z166">
        <v>2</v>
      </c>
      <c r="AA166">
        <v>6.35</v>
      </c>
      <c r="AB166">
        <v>31.7</v>
      </c>
      <c r="AC166">
        <f>4068*9.8/100</f>
        <v>398.66399999999999</v>
      </c>
      <c r="AD166">
        <f>1885*9.8/100</f>
        <v>184.73</v>
      </c>
      <c r="AE166">
        <v>4</v>
      </c>
      <c r="AF166">
        <v>40</v>
      </c>
      <c r="AG166">
        <v>2</v>
      </c>
      <c r="AH166">
        <v>40</v>
      </c>
      <c r="AI166">
        <v>3</v>
      </c>
      <c r="AJ166">
        <v>40</v>
      </c>
      <c r="AK166">
        <v>0</v>
      </c>
      <c r="AL166">
        <v>0</v>
      </c>
      <c r="AN166">
        <v>300</v>
      </c>
      <c r="AO166">
        <v>300</v>
      </c>
      <c r="AP166" t="s">
        <v>39</v>
      </c>
      <c r="AR166">
        <v>15.9</v>
      </c>
      <c r="AS166">
        <v>199</v>
      </c>
      <c r="AT166">
        <f>5552*9.8/100</f>
        <v>544.096</v>
      </c>
      <c r="AU166">
        <f>1865*9.8/100</f>
        <v>182.77</v>
      </c>
      <c r="AV166" t="s">
        <v>40</v>
      </c>
      <c r="AW166">
        <v>50</v>
      </c>
      <c r="AX166">
        <v>4</v>
      </c>
      <c r="AY166">
        <v>6.35</v>
      </c>
      <c r="AZ166">
        <v>31.7</v>
      </c>
      <c r="BA166">
        <f>4068*9.8/100</f>
        <v>398.66399999999999</v>
      </c>
      <c r="BB166">
        <f>1885*9.8/100</f>
        <v>184.73</v>
      </c>
      <c r="BC166">
        <v>4</v>
      </c>
      <c r="BD166">
        <v>40</v>
      </c>
      <c r="BE166">
        <v>2</v>
      </c>
      <c r="BF166">
        <v>66</v>
      </c>
      <c r="BG166">
        <v>4</v>
      </c>
      <c r="BH166">
        <v>40</v>
      </c>
      <c r="BI166">
        <v>2</v>
      </c>
      <c r="BJ166">
        <v>66</v>
      </c>
      <c r="BL166" s="30">
        <v>0</v>
      </c>
      <c r="BM166" t="s">
        <v>379</v>
      </c>
      <c r="BN166" t="s">
        <v>779</v>
      </c>
      <c r="BP166" s="30">
        <v>19.634954084936208</v>
      </c>
      <c r="BQ166">
        <v>3</v>
      </c>
      <c r="BR166">
        <v>12</v>
      </c>
      <c r="BS166">
        <f>4500*9.8/100</f>
        <v>441</v>
      </c>
      <c r="BT166">
        <f>2051*9.8/100</f>
        <v>200.99800000000002</v>
      </c>
      <c r="BU166" s="23">
        <v>0.35</v>
      </c>
    </row>
    <row r="167" spans="1:74">
      <c r="A167">
        <v>162</v>
      </c>
      <c r="B167" s="1">
        <v>1</v>
      </c>
      <c r="G167" t="s">
        <v>158</v>
      </c>
      <c r="H167" s="1" t="s">
        <v>241</v>
      </c>
      <c r="I167">
        <f t="shared" si="105"/>
        <v>45.57</v>
      </c>
      <c r="J167">
        <f t="shared" si="105"/>
        <v>45.57</v>
      </c>
      <c r="K167">
        <f t="shared" si="105"/>
        <v>45.57</v>
      </c>
      <c r="L167">
        <v>2700</v>
      </c>
      <c r="M167">
        <v>1470</v>
      </c>
      <c r="N167">
        <v>0</v>
      </c>
      <c r="O167">
        <f>18*9.8</f>
        <v>176.4</v>
      </c>
      <c r="P167">
        <v>200</v>
      </c>
      <c r="Q167">
        <v>300</v>
      </c>
      <c r="R167" t="s">
        <v>39</v>
      </c>
      <c r="T167">
        <v>15.9</v>
      </c>
      <c r="U167">
        <v>199</v>
      </c>
      <c r="V167" s="1">
        <f>5552*9.8/100</f>
        <v>544.096</v>
      </c>
      <c r="W167" s="1">
        <f>1865*9.8/100</f>
        <v>182.77</v>
      </c>
      <c r="X167" t="s">
        <v>40</v>
      </c>
      <c r="Y167">
        <v>40</v>
      </c>
      <c r="Z167">
        <v>2</v>
      </c>
      <c r="AA167">
        <v>6.35</v>
      </c>
      <c r="AB167">
        <v>31.7</v>
      </c>
      <c r="AC167">
        <f>4068*9.8/100</f>
        <v>398.66399999999999</v>
      </c>
      <c r="AD167">
        <f>1885*9.8/100</f>
        <v>184.73</v>
      </c>
      <c r="AE167">
        <v>4</v>
      </c>
      <c r="AF167">
        <v>40</v>
      </c>
      <c r="AG167">
        <v>0</v>
      </c>
      <c r="AH167">
        <v>0</v>
      </c>
      <c r="AI167">
        <v>2</v>
      </c>
      <c r="AJ167">
        <v>40</v>
      </c>
      <c r="AK167">
        <v>0</v>
      </c>
      <c r="AL167">
        <v>0</v>
      </c>
      <c r="AN167">
        <v>300</v>
      </c>
      <c r="AO167">
        <v>300</v>
      </c>
      <c r="AP167" t="s">
        <v>39</v>
      </c>
      <c r="AR167">
        <v>15.9</v>
      </c>
      <c r="AS167">
        <v>199</v>
      </c>
      <c r="AT167">
        <f>5552*9.8/100</f>
        <v>544.096</v>
      </c>
      <c r="AU167">
        <f>1865*9.8/100</f>
        <v>182.77</v>
      </c>
      <c r="AV167" t="s">
        <v>40</v>
      </c>
      <c r="AW167">
        <v>50</v>
      </c>
      <c r="AX167">
        <v>4</v>
      </c>
      <c r="AY167">
        <v>6.35</v>
      </c>
      <c r="AZ167">
        <v>31.7</v>
      </c>
      <c r="BA167">
        <f>4068*9.8/100</f>
        <v>398.66399999999999</v>
      </c>
      <c r="BB167">
        <f>1885*9.8/100</f>
        <v>184.73</v>
      </c>
      <c r="BC167">
        <v>4</v>
      </c>
      <c r="BD167">
        <v>40</v>
      </c>
      <c r="BE167">
        <v>2</v>
      </c>
      <c r="BF167">
        <v>66</v>
      </c>
      <c r="BG167">
        <v>4</v>
      </c>
      <c r="BH167">
        <v>40</v>
      </c>
      <c r="BI167">
        <v>2</v>
      </c>
      <c r="BJ167">
        <v>66</v>
      </c>
      <c r="BL167" s="30">
        <v>0</v>
      </c>
      <c r="BM167" t="s">
        <v>379</v>
      </c>
      <c r="BN167" t="s">
        <v>779</v>
      </c>
      <c r="BP167" s="30">
        <v>19.634954084936208</v>
      </c>
      <c r="BQ167">
        <v>3</v>
      </c>
      <c r="BR167">
        <v>12</v>
      </c>
      <c r="BS167">
        <f>4500*9.8/100</f>
        <v>441</v>
      </c>
      <c r="BT167">
        <f>2051*9.8/100</f>
        <v>200.99800000000002</v>
      </c>
      <c r="BU167" s="23">
        <v>0.35</v>
      </c>
    </row>
    <row r="168" spans="1:74">
      <c r="A168">
        <v>163</v>
      </c>
      <c r="B168" s="1">
        <v>1</v>
      </c>
      <c r="G168" t="s">
        <v>158</v>
      </c>
      <c r="H168" s="1" t="s">
        <v>242</v>
      </c>
      <c r="I168">
        <f t="shared" ref="I168:K169" si="106">655*9.8/100</f>
        <v>64.190000000000012</v>
      </c>
      <c r="J168">
        <f t="shared" si="106"/>
        <v>64.190000000000012</v>
      </c>
      <c r="K168">
        <f t="shared" si="106"/>
        <v>64.190000000000012</v>
      </c>
      <c r="L168">
        <v>2700</v>
      </c>
      <c r="M168">
        <v>1470</v>
      </c>
      <c r="N168">
        <v>0</v>
      </c>
      <c r="O168">
        <f>18*9.8</f>
        <v>176.4</v>
      </c>
      <c r="P168">
        <v>200</v>
      </c>
      <c r="Q168">
        <v>300</v>
      </c>
      <c r="R168" t="s">
        <v>39</v>
      </c>
      <c r="T168">
        <v>15.9</v>
      </c>
      <c r="U168">
        <v>199</v>
      </c>
      <c r="V168" s="1">
        <f>5552*9.8/100</f>
        <v>544.096</v>
      </c>
      <c r="W168" s="1">
        <f>1865*9.8/100</f>
        <v>182.77</v>
      </c>
      <c r="X168" t="s">
        <v>40</v>
      </c>
      <c r="Y168">
        <v>40</v>
      </c>
      <c r="Z168">
        <v>2</v>
      </c>
      <c r="AA168">
        <v>6.35</v>
      </c>
      <c r="AB168">
        <v>31.7</v>
      </c>
      <c r="AC168">
        <f>4068*9.8/100</f>
        <v>398.66399999999999</v>
      </c>
      <c r="AD168">
        <f>1885*9.8/100</f>
        <v>184.73</v>
      </c>
      <c r="AE168">
        <v>4</v>
      </c>
      <c r="AF168">
        <v>40</v>
      </c>
      <c r="AG168">
        <v>0</v>
      </c>
      <c r="AH168">
        <v>0</v>
      </c>
      <c r="AI168">
        <v>2</v>
      </c>
      <c r="AJ168">
        <v>40</v>
      </c>
      <c r="AK168">
        <v>0</v>
      </c>
      <c r="AL168">
        <v>0</v>
      </c>
      <c r="AN168">
        <v>300</v>
      </c>
      <c r="AO168">
        <v>300</v>
      </c>
      <c r="AP168" t="s">
        <v>39</v>
      </c>
      <c r="AR168">
        <v>15.9</v>
      </c>
      <c r="AS168">
        <v>199</v>
      </c>
      <c r="AT168">
        <f>5552*9.8/100</f>
        <v>544.096</v>
      </c>
      <c r="AU168">
        <f>1865*9.8/100</f>
        <v>182.77</v>
      </c>
      <c r="AV168" t="s">
        <v>40</v>
      </c>
      <c r="AW168">
        <v>50</v>
      </c>
      <c r="AX168">
        <v>4</v>
      </c>
      <c r="AY168">
        <v>6.35</v>
      </c>
      <c r="AZ168">
        <v>31.7</v>
      </c>
      <c r="BA168">
        <f>4068*9.8/100</f>
        <v>398.66399999999999</v>
      </c>
      <c r="BB168">
        <f>1885*9.8/100</f>
        <v>184.73</v>
      </c>
      <c r="BC168">
        <v>4</v>
      </c>
      <c r="BD168">
        <v>40</v>
      </c>
      <c r="BE168">
        <v>2</v>
      </c>
      <c r="BF168">
        <v>66</v>
      </c>
      <c r="BG168">
        <v>4</v>
      </c>
      <c r="BH168">
        <v>40</v>
      </c>
      <c r="BI168">
        <v>2</v>
      </c>
      <c r="BJ168">
        <v>66</v>
      </c>
      <c r="BL168" s="30">
        <v>0</v>
      </c>
      <c r="BM168" t="s">
        <v>379</v>
      </c>
      <c r="BN168" t="s">
        <v>778</v>
      </c>
      <c r="BP168" s="30">
        <v>19.634954084936208</v>
      </c>
      <c r="BQ168">
        <v>3</v>
      </c>
      <c r="BR168">
        <v>12</v>
      </c>
      <c r="BS168">
        <f>4500*9.8/100</f>
        <v>441</v>
      </c>
      <c r="BT168">
        <f>2051*9.8/100</f>
        <v>200.99800000000002</v>
      </c>
      <c r="BU168" s="23">
        <v>0.35</v>
      </c>
    </row>
    <row r="169" spans="1:74">
      <c r="A169">
        <v>164</v>
      </c>
      <c r="B169" s="1">
        <v>1</v>
      </c>
      <c r="G169" t="s">
        <v>160</v>
      </c>
      <c r="H169" s="1" t="s">
        <v>722</v>
      </c>
      <c r="I169">
        <f t="shared" si="106"/>
        <v>64.190000000000012</v>
      </c>
      <c r="J169">
        <f t="shared" si="106"/>
        <v>64.190000000000012</v>
      </c>
      <c r="K169">
        <f t="shared" si="106"/>
        <v>64.190000000000012</v>
      </c>
      <c r="L169">
        <v>2700</v>
      </c>
      <c r="M169">
        <v>1470</v>
      </c>
      <c r="N169">
        <v>0</v>
      </c>
      <c r="O169">
        <f>20*9.8/100*300*300/1000</f>
        <v>176.4</v>
      </c>
      <c r="P169">
        <v>200</v>
      </c>
      <c r="Q169">
        <v>300</v>
      </c>
      <c r="R169" t="s">
        <v>39</v>
      </c>
      <c r="T169">
        <v>15.9</v>
      </c>
      <c r="U169">
        <v>199</v>
      </c>
      <c r="V169" s="1">
        <f>8245*9.8/100</f>
        <v>808.01</v>
      </c>
      <c r="W169" s="1">
        <f>1894*9.8/100</f>
        <v>185.61199999999999</v>
      </c>
      <c r="X169" t="s">
        <v>40</v>
      </c>
      <c r="Y169">
        <v>40</v>
      </c>
      <c r="Z169">
        <v>2</v>
      </c>
      <c r="AA169">
        <v>6.35</v>
      </c>
      <c r="AB169">
        <v>31.7</v>
      </c>
      <c r="AC169">
        <f>4068*9.8/100</f>
        <v>398.66399999999999</v>
      </c>
      <c r="AD169">
        <f>1885*9.8/100</f>
        <v>184.73</v>
      </c>
      <c r="AE169">
        <v>4</v>
      </c>
      <c r="AF169">
        <v>40</v>
      </c>
      <c r="AG169">
        <v>0</v>
      </c>
      <c r="AH169">
        <v>0</v>
      </c>
      <c r="AI169">
        <v>2</v>
      </c>
      <c r="AJ169">
        <v>40</v>
      </c>
      <c r="AK169">
        <v>0</v>
      </c>
      <c r="AL169">
        <v>0</v>
      </c>
      <c r="AN169">
        <v>300</v>
      </c>
      <c r="AO169">
        <v>300</v>
      </c>
      <c r="AP169" t="s">
        <v>39</v>
      </c>
      <c r="AR169">
        <v>15.9</v>
      </c>
      <c r="AS169">
        <v>199</v>
      </c>
      <c r="AT169">
        <f>5552*9.8/100</f>
        <v>544.096</v>
      </c>
      <c r="AU169">
        <f>1865*9.8/100</f>
        <v>182.77</v>
      </c>
      <c r="AV169" t="s">
        <v>40</v>
      </c>
      <c r="AW169">
        <v>50</v>
      </c>
      <c r="AX169">
        <v>4</v>
      </c>
      <c r="AY169">
        <v>6.35</v>
      </c>
      <c r="AZ169">
        <v>31.7</v>
      </c>
      <c r="BA169">
        <f>4068*9.8/100</f>
        <v>398.66399999999999</v>
      </c>
      <c r="BB169">
        <f>1885*9.8/100</f>
        <v>184.73</v>
      </c>
      <c r="BC169">
        <v>4</v>
      </c>
      <c r="BD169">
        <v>40</v>
      </c>
      <c r="BE169">
        <v>2</v>
      </c>
      <c r="BF169">
        <v>66</v>
      </c>
      <c r="BG169">
        <v>4</v>
      </c>
      <c r="BH169">
        <v>40</v>
      </c>
      <c r="BI169">
        <v>2</v>
      </c>
      <c r="BJ169">
        <v>66</v>
      </c>
      <c r="BL169" s="30">
        <v>0</v>
      </c>
      <c r="BM169" t="s">
        <v>379</v>
      </c>
      <c r="BN169" t="s">
        <v>778</v>
      </c>
      <c r="BP169" s="30">
        <v>19.634954084936208</v>
      </c>
      <c r="BQ169">
        <v>3</v>
      </c>
      <c r="BR169">
        <v>12</v>
      </c>
      <c r="BS169">
        <f>4500*9.8/100</f>
        <v>441</v>
      </c>
      <c r="BT169">
        <f>2051*9.8/100</f>
        <v>200.99800000000002</v>
      </c>
      <c r="BU169" s="23">
        <v>0.35</v>
      </c>
    </row>
    <row r="170" spans="1:74">
      <c r="A170">
        <v>165</v>
      </c>
      <c r="B170" s="1">
        <v>1</v>
      </c>
      <c r="C170">
        <v>43</v>
      </c>
      <c r="D170" t="s">
        <v>67</v>
      </c>
      <c r="E170">
        <v>1994</v>
      </c>
      <c r="F170" t="s">
        <v>27</v>
      </c>
      <c r="G170" t="s">
        <v>160</v>
      </c>
      <c r="H170" s="1" t="s">
        <v>201</v>
      </c>
      <c r="I170">
        <f>320*9.8/100</f>
        <v>31.36</v>
      </c>
      <c r="J170">
        <f>320*9.8/100</f>
        <v>31.36</v>
      </c>
      <c r="K170">
        <f>320*9.8/100</f>
        <v>31.36</v>
      </c>
      <c r="L170">
        <v>3300</v>
      </c>
      <c r="M170">
        <v>1720</v>
      </c>
      <c r="N170">
        <v>0</v>
      </c>
      <c r="O170">
        <v>0</v>
      </c>
      <c r="P170">
        <v>280</v>
      </c>
      <c r="Q170">
        <v>400</v>
      </c>
      <c r="R170" t="s">
        <v>57</v>
      </c>
      <c r="S170" s="30" t="s">
        <v>243</v>
      </c>
      <c r="T170">
        <v>19.100000000000001</v>
      </c>
      <c r="U170">
        <v>287</v>
      </c>
      <c r="V170" s="1">
        <f>4704*9.8/100</f>
        <v>460.99200000000002</v>
      </c>
      <c r="W170" s="1">
        <v>205</v>
      </c>
      <c r="X170" t="s">
        <v>244</v>
      </c>
      <c r="Y170">
        <v>50</v>
      </c>
      <c r="Z170">
        <v>2</v>
      </c>
      <c r="AA170">
        <v>7.4</v>
      </c>
      <c r="AB170">
        <v>43</v>
      </c>
      <c r="AC170">
        <f>14800*9.8/100</f>
        <v>1450.4</v>
      </c>
      <c r="AE170">
        <v>4</v>
      </c>
      <c r="AF170">
        <v>39</v>
      </c>
      <c r="AG170">
        <v>2</v>
      </c>
      <c r="AH170">
        <v>50</v>
      </c>
      <c r="AI170">
        <v>4</v>
      </c>
      <c r="AJ170">
        <v>39</v>
      </c>
      <c r="AK170">
        <v>2</v>
      </c>
      <c r="AL170">
        <v>50</v>
      </c>
      <c r="AN170">
        <v>400</v>
      </c>
      <c r="AO170">
        <v>450</v>
      </c>
      <c r="AP170" t="s">
        <v>57</v>
      </c>
      <c r="AQ170" s="30" t="s">
        <v>243</v>
      </c>
      <c r="AR170">
        <v>19.100000000000001</v>
      </c>
      <c r="AS170">
        <v>287</v>
      </c>
      <c r="AT170">
        <f>4704*9.8/100</f>
        <v>460.99200000000002</v>
      </c>
      <c r="AU170">
        <v>205</v>
      </c>
      <c r="AV170" t="s">
        <v>244</v>
      </c>
      <c r="AW170">
        <v>50</v>
      </c>
      <c r="AX170">
        <v>2</v>
      </c>
      <c r="AY170">
        <v>7.4</v>
      </c>
      <c r="AZ170">
        <v>43</v>
      </c>
      <c r="BA170">
        <f>14800*9.8/100</f>
        <v>1450.4</v>
      </c>
      <c r="BC170">
        <v>3</v>
      </c>
      <c r="BD170">
        <v>50</v>
      </c>
      <c r="BE170">
        <v>2</v>
      </c>
      <c r="BF170">
        <v>150</v>
      </c>
      <c r="BG170">
        <v>3</v>
      </c>
      <c r="BH170">
        <v>50</v>
      </c>
      <c r="BI170">
        <v>0</v>
      </c>
      <c r="BJ170">
        <v>0</v>
      </c>
      <c r="BL170" s="30">
        <v>0</v>
      </c>
      <c r="BM170" t="s">
        <v>381</v>
      </c>
      <c r="BN170" t="s">
        <v>784</v>
      </c>
      <c r="BP170" s="30">
        <v>40</v>
      </c>
      <c r="BQ170">
        <v>4</v>
      </c>
      <c r="BR170">
        <v>8</v>
      </c>
      <c r="BS170">
        <f>14800*9.8/100</f>
        <v>1450.4</v>
      </c>
      <c r="BT170">
        <v>205</v>
      </c>
    </row>
    <row r="171" spans="1:74">
      <c r="A171">
        <v>166</v>
      </c>
      <c r="B171" s="1">
        <v>1</v>
      </c>
      <c r="C171">
        <v>44</v>
      </c>
      <c r="D171" t="s">
        <v>68</v>
      </c>
      <c r="E171">
        <v>1994</v>
      </c>
      <c r="F171" t="s">
        <v>27</v>
      </c>
      <c r="G171" t="s">
        <v>158</v>
      </c>
      <c r="H171" s="1" t="s">
        <v>245</v>
      </c>
      <c r="I171">
        <v>30.8</v>
      </c>
      <c r="J171">
        <v>30.8</v>
      </c>
      <c r="K171">
        <v>30.8</v>
      </c>
      <c r="L171">
        <v>2800</v>
      </c>
      <c r="M171">
        <v>2300</v>
      </c>
      <c r="N171">
        <v>0</v>
      </c>
      <c r="O171">
        <v>443.52</v>
      </c>
      <c r="P171">
        <v>200</v>
      </c>
      <c r="Q171">
        <v>300</v>
      </c>
      <c r="R171" t="s">
        <v>39</v>
      </c>
      <c r="T171">
        <v>15.9</v>
      </c>
      <c r="U171">
        <v>199</v>
      </c>
      <c r="V171" s="1">
        <v>354</v>
      </c>
      <c r="W171" s="1">
        <v>187</v>
      </c>
      <c r="X171" t="s">
        <v>246</v>
      </c>
      <c r="Y171">
        <v>100</v>
      </c>
      <c r="Z171">
        <v>2</v>
      </c>
      <c r="AA171">
        <v>9</v>
      </c>
      <c r="AB171">
        <v>63.6</v>
      </c>
      <c r="AC171">
        <v>334</v>
      </c>
      <c r="AD171">
        <v>213</v>
      </c>
      <c r="AE171">
        <v>3</v>
      </c>
      <c r="AF171">
        <v>50</v>
      </c>
      <c r="AG171">
        <v>0</v>
      </c>
      <c r="AH171">
        <v>0</v>
      </c>
      <c r="AI171">
        <v>3</v>
      </c>
      <c r="AJ171">
        <v>50</v>
      </c>
      <c r="AK171">
        <v>0</v>
      </c>
      <c r="AL171">
        <v>0</v>
      </c>
      <c r="AN171">
        <v>300</v>
      </c>
      <c r="AO171">
        <v>300</v>
      </c>
      <c r="AP171" t="s">
        <v>39</v>
      </c>
      <c r="AR171">
        <v>15.9</v>
      </c>
      <c r="AS171">
        <v>199</v>
      </c>
      <c r="AT171">
        <v>354</v>
      </c>
      <c r="AU171">
        <v>187</v>
      </c>
      <c r="AV171" t="s">
        <v>246</v>
      </c>
      <c r="AW171">
        <v>100</v>
      </c>
      <c r="AX171">
        <v>2</v>
      </c>
      <c r="AY171">
        <v>9</v>
      </c>
      <c r="AZ171">
        <v>63.6</v>
      </c>
      <c r="BA171">
        <v>334</v>
      </c>
      <c r="BB171">
        <v>213</v>
      </c>
      <c r="BC171">
        <v>4</v>
      </c>
      <c r="BD171">
        <v>50</v>
      </c>
      <c r="BE171">
        <v>0</v>
      </c>
      <c r="BF171">
        <v>0</v>
      </c>
      <c r="BG171">
        <v>4</v>
      </c>
      <c r="BH171">
        <v>50</v>
      </c>
      <c r="BI171">
        <v>0</v>
      </c>
      <c r="BJ171">
        <v>0</v>
      </c>
      <c r="BL171" s="30">
        <v>0</v>
      </c>
      <c r="BM171" t="s">
        <v>381</v>
      </c>
      <c r="BN171" t="s">
        <v>783</v>
      </c>
      <c r="BP171" s="30">
        <v>63.6</v>
      </c>
      <c r="BQ171">
        <v>5</v>
      </c>
      <c r="BR171">
        <v>10</v>
      </c>
      <c r="BS171">
        <v>334</v>
      </c>
      <c r="BT171">
        <v>213</v>
      </c>
      <c r="BU171" s="23">
        <v>1</v>
      </c>
    </row>
    <row r="172" spans="1:74">
      <c r="A172">
        <v>167</v>
      </c>
      <c r="B172" s="1">
        <v>1</v>
      </c>
      <c r="C172">
        <v>45</v>
      </c>
      <c r="D172" t="s">
        <v>69</v>
      </c>
      <c r="E172">
        <v>1995</v>
      </c>
      <c r="F172" t="s">
        <v>27</v>
      </c>
      <c r="G172" t="s">
        <v>160</v>
      </c>
      <c r="H172" s="1" t="s">
        <v>247</v>
      </c>
      <c r="I172">
        <v>29.7</v>
      </c>
      <c r="J172">
        <v>29.7</v>
      </c>
      <c r="K172">
        <v>29.7</v>
      </c>
      <c r="L172">
        <v>2800</v>
      </c>
      <c r="M172">
        <v>2300</v>
      </c>
      <c r="N172">
        <v>0</v>
      </c>
      <c r="O172">
        <v>441</v>
      </c>
      <c r="P172">
        <v>200</v>
      </c>
      <c r="Q172">
        <v>300</v>
      </c>
      <c r="R172" t="s">
        <v>162</v>
      </c>
      <c r="T172">
        <v>22.2</v>
      </c>
      <c r="U172">
        <v>387</v>
      </c>
      <c r="V172" s="1">
        <v>338.7</v>
      </c>
      <c r="W172" s="1">
        <v>188</v>
      </c>
      <c r="X172" t="s">
        <v>246</v>
      </c>
      <c r="Y172">
        <v>50</v>
      </c>
      <c r="Z172">
        <v>2</v>
      </c>
      <c r="AA172">
        <v>9</v>
      </c>
      <c r="AB172">
        <v>63.6</v>
      </c>
      <c r="AC172">
        <v>324.8</v>
      </c>
      <c r="AD172">
        <v>203</v>
      </c>
      <c r="AE172">
        <v>3</v>
      </c>
      <c r="AF172">
        <v>50</v>
      </c>
      <c r="AG172">
        <v>0</v>
      </c>
      <c r="AH172">
        <v>0</v>
      </c>
      <c r="AI172">
        <v>3</v>
      </c>
      <c r="AJ172">
        <v>50</v>
      </c>
      <c r="AK172">
        <v>0</v>
      </c>
      <c r="AL172">
        <v>0</v>
      </c>
      <c r="AN172">
        <v>300</v>
      </c>
      <c r="AO172">
        <v>300</v>
      </c>
      <c r="AP172" t="s">
        <v>162</v>
      </c>
      <c r="AR172">
        <v>22.2</v>
      </c>
      <c r="AS172">
        <v>387</v>
      </c>
      <c r="AT172">
        <v>338.7</v>
      </c>
      <c r="AU172">
        <v>188</v>
      </c>
      <c r="AV172" t="s">
        <v>246</v>
      </c>
      <c r="AW172">
        <v>50</v>
      </c>
      <c r="AX172">
        <v>2</v>
      </c>
      <c r="AY172">
        <v>9</v>
      </c>
      <c r="AZ172">
        <v>63.6</v>
      </c>
      <c r="BA172">
        <v>324.8</v>
      </c>
      <c r="BB172">
        <v>203</v>
      </c>
      <c r="BC172">
        <v>2</v>
      </c>
      <c r="BD172">
        <v>50</v>
      </c>
      <c r="BE172">
        <v>2</v>
      </c>
      <c r="BF172">
        <v>75</v>
      </c>
      <c r="BG172">
        <v>2</v>
      </c>
      <c r="BH172">
        <v>50</v>
      </c>
      <c r="BI172">
        <v>2</v>
      </c>
      <c r="BJ172">
        <v>75</v>
      </c>
      <c r="BL172" s="30">
        <v>0</v>
      </c>
      <c r="BM172" t="s">
        <v>381</v>
      </c>
      <c r="BN172" t="s">
        <v>782</v>
      </c>
      <c r="BP172" s="30">
        <v>132.73228961416876</v>
      </c>
      <c r="BQ172">
        <v>4</v>
      </c>
      <c r="BR172">
        <v>8</v>
      </c>
      <c r="BS172">
        <v>312.39999999999998</v>
      </c>
      <c r="BT172">
        <v>195</v>
      </c>
      <c r="BU172" s="23">
        <v>1.62</v>
      </c>
    </row>
    <row r="173" spans="1:74">
      <c r="A173">
        <v>168</v>
      </c>
      <c r="B173" s="1">
        <v>2</v>
      </c>
      <c r="C173">
        <v>46</v>
      </c>
      <c r="D173" t="s">
        <v>70</v>
      </c>
      <c r="E173">
        <v>1996</v>
      </c>
      <c r="F173" t="s">
        <v>27</v>
      </c>
      <c r="G173" t="s">
        <v>160</v>
      </c>
      <c r="H173" s="51" t="s">
        <v>201</v>
      </c>
      <c r="I173">
        <f t="shared" ref="I173:K175" si="107">292*9.8/100</f>
        <v>28.616000000000003</v>
      </c>
      <c r="J173">
        <f t="shared" si="107"/>
        <v>28.616000000000003</v>
      </c>
      <c r="K173">
        <f t="shared" si="107"/>
        <v>28.616000000000003</v>
      </c>
      <c r="L173">
        <v>2000</v>
      </c>
      <c r="M173">
        <v>1400</v>
      </c>
      <c r="N173">
        <v>0</v>
      </c>
      <c r="O173">
        <f>30*9.8</f>
        <v>294</v>
      </c>
      <c r="P173">
        <v>180</v>
      </c>
      <c r="Q173">
        <v>250</v>
      </c>
      <c r="R173" t="s">
        <v>62</v>
      </c>
      <c r="T173">
        <v>12.7</v>
      </c>
      <c r="U173">
        <v>127</v>
      </c>
      <c r="V173" s="1">
        <f>3902*9.8/100</f>
        <v>382.39600000000007</v>
      </c>
      <c r="W173" s="1">
        <f>1890*9.8/100</f>
        <v>185.22</v>
      </c>
      <c r="X173" t="s">
        <v>40</v>
      </c>
      <c r="Y173">
        <v>80</v>
      </c>
      <c r="Z173">
        <v>2</v>
      </c>
      <c r="AA173">
        <v>6.35</v>
      </c>
      <c r="AB173">
        <v>31.7</v>
      </c>
      <c r="AC173">
        <f>4281*9.8/100</f>
        <v>419.53800000000001</v>
      </c>
      <c r="AD173">
        <f>1740*9.8/100</f>
        <v>170.52</v>
      </c>
      <c r="AE173">
        <v>4</v>
      </c>
      <c r="AF173">
        <v>32</v>
      </c>
      <c r="AG173">
        <v>0</v>
      </c>
      <c r="AH173">
        <v>0</v>
      </c>
      <c r="AI173">
        <v>4</v>
      </c>
      <c r="AJ173">
        <v>32</v>
      </c>
      <c r="AK173">
        <v>0</v>
      </c>
      <c r="AL173">
        <v>0</v>
      </c>
      <c r="AN173">
        <v>250</v>
      </c>
      <c r="AO173">
        <v>250</v>
      </c>
      <c r="AP173" t="s">
        <v>39</v>
      </c>
      <c r="AR173">
        <v>15.9</v>
      </c>
      <c r="AS173">
        <v>199</v>
      </c>
      <c r="AT173">
        <f>3862*9.8/100</f>
        <v>378.47600000000006</v>
      </c>
      <c r="AU173">
        <f>1990*9.8/100</f>
        <v>195.02</v>
      </c>
      <c r="AV173" t="s">
        <v>40</v>
      </c>
      <c r="AW173">
        <v>50</v>
      </c>
      <c r="AX173">
        <v>2</v>
      </c>
      <c r="AY173">
        <v>6.35</v>
      </c>
      <c r="AZ173">
        <v>31.7</v>
      </c>
      <c r="BA173">
        <f>4281*9.8/100</f>
        <v>419.53800000000001</v>
      </c>
      <c r="BB173">
        <f>1740*9.8/100</f>
        <v>170.52</v>
      </c>
      <c r="BC173">
        <v>2</v>
      </c>
      <c r="BD173">
        <v>32</v>
      </c>
      <c r="BE173">
        <v>2</v>
      </c>
      <c r="BF173">
        <v>48</v>
      </c>
      <c r="BG173">
        <v>2</v>
      </c>
      <c r="BH173">
        <v>32</v>
      </c>
      <c r="BI173">
        <v>2</v>
      </c>
      <c r="BJ173">
        <v>48</v>
      </c>
      <c r="BL173" s="30">
        <v>0</v>
      </c>
      <c r="BM173" t="s">
        <v>381</v>
      </c>
      <c r="BN173" t="s">
        <v>785</v>
      </c>
      <c r="BQ173">
        <v>3</v>
      </c>
      <c r="BR173">
        <v>6</v>
      </c>
      <c r="BS173">
        <f>4281*9.8/100</f>
        <v>419.53800000000001</v>
      </c>
      <c r="BT173">
        <f>1740*9.8/100</f>
        <v>170.52</v>
      </c>
    </row>
    <row r="174" spans="1:74">
      <c r="A174">
        <v>169</v>
      </c>
      <c r="B174" s="1">
        <v>2</v>
      </c>
      <c r="G174" t="s">
        <v>160</v>
      </c>
      <c r="H174" s="51" t="s">
        <v>105</v>
      </c>
      <c r="I174">
        <f t="shared" si="107"/>
        <v>28.616000000000003</v>
      </c>
      <c r="J174">
        <f t="shared" si="107"/>
        <v>28.616000000000003</v>
      </c>
      <c r="K174">
        <f t="shared" si="107"/>
        <v>28.616000000000003</v>
      </c>
      <c r="L174">
        <v>2000</v>
      </c>
      <c r="M174">
        <v>1400</v>
      </c>
      <c r="N174">
        <v>0</v>
      </c>
      <c r="O174">
        <f>30*9.8</f>
        <v>294</v>
      </c>
      <c r="P174">
        <v>180</v>
      </c>
      <c r="Q174">
        <v>250</v>
      </c>
      <c r="R174" t="s">
        <v>39</v>
      </c>
      <c r="T174">
        <v>15.9</v>
      </c>
      <c r="U174">
        <v>199</v>
      </c>
      <c r="V174" s="1">
        <f>3862*9.8/100</f>
        <v>378.47600000000006</v>
      </c>
      <c r="W174" s="1">
        <f>1990*9.8/100</f>
        <v>195.02</v>
      </c>
      <c r="X174" t="s">
        <v>40</v>
      </c>
      <c r="Y174">
        <v>80</v>
      </c>
      <c r="Z174">
        <v>2</v>
      </c>
      <c r="AA174">
        <v>6.35</v>
      </c>
      <c r="AB174">
        <v>31.7</v>
      </c>
      <c r="AC174">
        <f>4281*9.8/100</f>
        <v>419.53800000000001</v>
      </c>
      <c r="AD174">
        <f>1740*9.8/100</f>
        <v>170.52</v>
      </c>
      <c r="AE174">
        <v>3</v>
      </c>
      <c r="AF174">
        <v>32</v>
      </c>
      <c r="AG174">
        <v>0</v>
      </c>
      <c r="AH174">
        <v>0</v>
      </c>
      <c r="AI174">
        <v>3</v>
      </c>
      <c r="AJ174">
        <v>32</v>
      </c>
      <c r="AK174">
        <v>0</v>
      </c>
      <c r="AL174">
        <v>0</v>
      </c>
      <c r="AN174">
        <v>250</v>
      </c>
      <c r="AO174">
        <v>250</v>
      </c>
      <c r="AP174" t="s">
        <v>39</v>
      </c>
      <c r="AR174">
        <v>15.9</v>
      </c>
      <c r="AS174">
        <v>199</v>
      </c>
      <c r="AT174">
        <f>3862*9.8/100</f>
        <v>378.47600000000006</v>
      </c>
      <c r="AU174">
        <f>1990*9.8/100</f>
        <v>195.02</v>
      </c>
      <c r="AV174" t="s">
        <v>40</v>
      </c>
      <c r="AW174">
        <v>50</v>
      </c>
      <c r="AX174">
        <v>2</v>
      </c>
      <c r="AY174">
        <v>6.35</v>
      </c>
      <c r="AZ174">
        <v>31.7</v>
      </c>
      <c r="BA174">
        <f>4281*9.8/100</f>
        <v>419.53800000000001</v>
      </c>
      <c r="BB174">
        <f>1740*9.8/100</f>
        <v>170.52</v>
      </c>
      <c r="BC174">
        <v>2</v>
      </c>
      <c r="BD174">
        <v>32</v>
      </c>
      <c r="BE174">
        <v>2</v>
      </c>
      <c r="BF174">
        <v>48</v>
      </c>
      <c r="BG174">
        <v>2</v>
      </c>
      <c r="BH174">
        <v>32</v>
      </c>
      <c r="BI174">
        <v>2</v>
      </c>
      <c r="BJ174">
        <v>48</v>
      </c>
      <c r="BL174" s="30">
        <v>0</v>
      </c>
      <c r="BM174" t="s">
        <v>381</v>
      </c>
      <c r="BN174" t="s">
        <v>785</v>
      </c>
      <c r="BQ174">
        <v>3</v>
      </c>
      <c r="BR174">
        <v>6</v>
      </c>
      <c r="BS174">
        <f>4281*9.8/100</f>
        <v>419.53800000000001</v>
      </c>
      <c r="BT174">
        <f>1740*9.8/100</f>
        <v>170.52</v>
      </c>
    </row>
    <row r="175" spans="1:74">
      <c r="A175">
        <v>170</v>
      </c>
      <c r="B175" s="1">
        <v>2</v>
      </c>
      <c r="G175" t="s">
        <v>160</v>
      </c>
      <c r="H175" s="51" t="s">
        <v>106</v>
      </c>
      <c r="I175">
        <f t="shared" si="107"/>
        <v>28.616000000000003</v>
      </c>
      <c r="J175">
        <f t="shared" si="107"/>
        <v>28.616000000000003</v>
      </c>
      <c r="K175">
        <f t="shared" si="107"/>
        <v>28.616000000000003</v>
      </c>
      <c r="L175">
        <v>2000</v>
      </c>
      <c r="M175">
        <v>1400</v>
      </c>
      <c r="N175">
        <v>0</v>
      </c>
      <c r="O175">
        <f>30*9.8</f>
        <v>294</v>
      </c>
      <c r="P175">
        <v>180</v>
      </c>
      <c r="Q175">
        <v>250</v>
      </c>
      <c r="R175" t="s">
        <v>39</v>
      </c>
      <c r="T175">
        <v>15.9</v>
      </c>
      <c r="U175">
        <v>199</v>
      </c>
      <c r="V175" s="1">
        <f>3862*9.8/100</f>
        <v>378.47600000000006</v>
      </c>
      <c r="W175" s="1">
        <f>1990*9.8/100</f>
        <v>195.02</v>
      </c>
      <c r="X175" t="s">
        <v>40</v>
      </c>
      <c r="Y175">
        <v>80</v>
      </c>
      <c r="Z175">
        <v>2</v>
      </c>
      <c r="AA175">
        <v>6.35</v>
      </c>
      <c r="AB175">
        <v>31.7</v>
      </c>
      <c r="AC175">
        <f>4281*9.8/100</f>
        <v>419.53800000000001</v>
      </c>
      <c r="AD175">
        <f>1740*9.8/100</f>
        <v>170.52</v>
      </c>
      <c r="AE175">
        <v>2</v>
      </c>
      <c r="AF175">
        <v>32</v>
      </c>
      <c r="AG175">
        <v>0</v>
      </c>
      <c r="AH175">
        <v>0</v>
      </c>
      <c r="AI175">
        <v>2</v>
      </c>
      <c r="AJ175">
        <v>32</v>
      </c>
      <c r="AK175">
        <v>0</v>
      </c>
      <c r="AL175">
        <v>0</v>
      </c>
      <c r="AN175">
        <v>250</v>
      </c>
      <c r="AO175">
        <v>250</v>
      </c>
      <c r="AP175" t="s">
        <v>39</v>
      </c>
      <c r="AR175">
        <v>15.9</v>
      </c>
      <c r="AS175">
        <v>199</v>
      </c>
      <c r="AT175">
        <f>3862*9.8/100</f>
        <v>378.47600000000006</v>
      </c>
      <c r="AU175">
        <f>1990*9.8/100</f>
        <v>195.02</v>
      </c>
      <c r="AV175" t="s">
        <v>40</v>
      </c>
      <c r="AW175">
        <v>50</v>
      </c>
      <c r="AX175">
        <v>2</v>
      </c>
      <c r="AY175">
        <v>6.35</v>
      </c>
      <c r="AZ175">
        <v>31.7</v>
      </c>
      <c r="BA175">
        <f>4281*9.8/100</f>
        <v>419.53800000000001</v>
      </c>
      <c r="BB175">
        <f>1740*9.8/100</f>
        <v>170.52</v>
      </c>
      <c r="BC175">
        <v>2</v>
      </c>
      <c r="BD175">
        <v>32</v>
      </c>
      <c r="BE175">
        <v>2</v>
      </c>
      <c r="BF175">
        <v>48</v>
      </c>
      <c r="BG175">
        <v>2</v>
      </c>
      <c r="BH175">
        <v>32</v>
      </c>
      <c r="BI175">
        <v>2</v>
      </c>
      <c r="BJ175">
        <v>48</v>
      </c>
      <c r="BL175" s="30">
        <v>0</v>
      </c>
      <c r="BM175" t="s">
        <v>381</v>
      </c>
      <c r="BN175" t="s">
        <v>785</v>
      </c>
      <c r="BQ175">
        <v>3</v>
      </c>
      <c r="BR175">
        <v>6</v>
      </c>
      <c r="BS175">
        <f>4281*9.8/100</f>
        <v>419.53800000000001</v>
      </c>
      <c r="BT175">
        <f>1740*9.8/100</f>
        <v>170.52</v>
      </c>
    </row>
    <row r="176" spans="1:74">
      <c r="A176">
        <v>171</v>
      </c>
      <c r="B176" s="1">
        <v>2</v>
      </c>
      <c r="C176">
        <v>47</v>
      </c>
      <c r="D176" t="s">
        <v>68</v>
      </c>
      <c r="E176">
        <v>1996</v>
      </c>
      <c r="F176" t="s">
        <v>27</v>
      </c>
      <c r="G176" t="s">
        <v>158</v>
      </c>
      <c r="H176" s="52" t="s">
        <v>248</v>
      </c>
      <c r="I176">
        <f>343*9.8/100</f>
        <v>33.614000000000004</v>
      </c>
      <c r="J176">
        <f>343*9.8/100</f>
        <v>33.614000000000004</v>
      </c>
      <c r="K176">
        <f>343*9.8/100</f>
        <v>33.614000000000004</v>
      </c>
      <c r="L176">
        <v>2600</v>
      </c>
      <c r="M176">
        <v>1800</v>
      </c>
      <c r="N176">
        <v>0</v>
      </c>
      <c r="O176">
        <f>86.4*9.8</f>
        <v>846.72000000000014</v>
      </c>
      <c r="P176">
        <v>360</v>
      </c>
      <c r="Q176">
        <v>400</v>
      </c>
      <c r="R176" t="s">
        <v>39</v>
      </c>
      <c r="S176" s="30" t="s">
        <v>76</v>
      </c>
      <c r="T176">
        <v>15.9</v>
      </c>
      <c r="U176">
        <v>199</v>
      </c>
      <c r="V176" s="1">
        <f>4110*9.8/100</f>
        <v>402.78</v>
      </c>
      <c r="W176" s="1">
        <f>2030*9.8/100</f>
        <v>198.94</v>
      </c>
      <c r="X176" t="s">
        <v>40</v>
      </c>
      <c r="Y176">
        <v>50</v>
      </c>
      <c r="Z176">
        <v>2</v>
      </c>
      <c r="AA176">
        <v>6.35</v>
      </c>
      <c r="AB176">
        <v>31.7</v>
      </c>
      <c r="AC176">
        <f>4180*9.8/100</f>
        <v>409.64</v>
      </c>
      <c r="AD176">
        <f>1870*9.8/100</f>
        <v>183.26</v>
      </c>
      <c r="AE176">
        <v>4</v>
      </c>
      <c r="AF176">
        <v>35</v>
      </c>
      <c r="AG176">
        <v>0</v>
      </c>
      <c r="AH176">
        <v>0</v>
      </c>
      <c r="AI176">
        <v>4</v>
      </c>
      <c r="AJ176">
        <v>35</v>
      </c>
      <c r="AK176">
        <v>0</v>
      </c>
      <c r="AL176">
        <v>0</v>
      </c>
      <c r="AN176">
        <v>400</v>
      </c>
      <c r="AO176">
        <v>400</v>
      </c>
      <c r="AP176" t="s">
        <v>39</v>
      </c>
      <c r="AQ176" s="30" t="s">
        <v>76</v>
      </c>
      <c r="AR176">
        <v>15.9</v>
      </c>
      <c r="AS176">
        <v>199</v>
      </c>
      <c r="AT176">
        <f>4110*9.8/100</f>
        <v>402.78</v>
      </c>
      <c r="AU176">
        <f>2030*9.8/100</f>
        <v>198.94</v>
      </c>
      <c r="AV176" t="s">
        <v>40</v>
      </c>
      <c r="AW176">
        <v>50</v>
      </c>
      <c r="AX176">
        <v>2</v>
      </c>
      <c r="AY176">
        <v>6.35</v>
      </c>
      <c r="AZ176">
        <v>31.7</v>
      </c>
      <c r="BA176">
        <f>4180*9.8/100</f>
        <v>409.64</v>
      </c>
      <c r="BB176">
        <f>1870*9.8/100</f>
        <v>183.26</v>
      </c>
      <c r="BC176">
        <v>4</v>
      </c>
      <c r="BD176">
        <v>35</v>
      </c>
      <c r="BE176">
        <v>2</v>
      </c>
      <c r="BF176">
        <v>88</v>
      </c>
      <c r="BG176">
        <v>4</v>
      </c>
      <c r="BH176">
        <v>35</v>
      </c>
      <c r="BI176">
        <v>2</v>
      </c>
      <c r="BJ176">
        <v>88</v>
      </c>
      <c r="BL176" s="30">
        <v>0</v>
      </c>
      <c r="BM176" t="s">
        <v>381</v>
      </c>
      <c r="BN176" t="s">
        <v>785</v>
      </c>
      <c r="BQ176">
        <v>5</v>
      </c>
      <c r="BR176">
        <v>10</v>
      </c>
      <c r="BS176">
        <f>4180*9.8/100</f>
        <v>409.64</v>
      </c>
      <c r="BT176">
        <f>1870*9.8/100</f>
        <v>183.26</v>
      </c>
    </row>
    <row r="177" spans="1:74">
      <c r="A177">
        <v>172</v>
      </c>
      <c r="B177" s="1">
        <v>2</v>
      </c>
      <c r="G177" t="s">
        <v>84</v>
      </c>
      <c r="H177" s="52" t="s">
        <v>249</v>
      </c>
      <c r="I177">
        <f>321*9.8/100</f>
        <v>31.458000000000002</v>
      </c>
      <c r="J177">
        <f>321*9.8/100</f>
        <v>31.458000000000002</v>
      </c>
      <c r="K177">
        <f>321*9.8/100</f>
        <v>31.458000000000002</v>
      </c>
      <c r="L177">
        <v>2600</v>
      </c>
      <c r="M177">
        <v>1800</v>
      </c>
      <c r="N177">
        <v>0</v>
      </c>
      <c r="O177">
        <f>86.4*9.8</f>
        <v>846.72000000000014</v>
      </c>
      <c r="P177">
        <v>360</v>
      </c>
      <c r="Q177">
        <v>400</v>
      </c>
      <c r="R177" t="s">
        <v>57</v>
      </c>
      <c r="S177" s="30" t="s">
        <v>76</v>
      </c>
      <c r="T177">
        <v>19.100000000000001</v>
      </c>
      <c r="U177">
        <v>287</v>
      </c>
      <c r="V177" s="1">
        <f>7070*9.8/100</f>
        <v>692.86</v>
      </c>
      <c r="W177" s="1">
        <f>2020*9.8/100</f>
        <v>197.96</v>
      </c>
      <c r="X177" t="s">
        <v>250</v>
      </c>
      <c r="Y177">
        <v>50</v>
      </c>
      <c r="Z177">
        <v>2</v>
      </c>
      <c r="AA177">
        <v>6.35</v>
      </c>
      <c r="AB177">
        <v>32</v>
      </c>
      <c r="AC177">
        <f>10690*9.8/100</f>
        <v>1047.6200000000001</v>
      </c>
      <c r="AD177">
        <f>2150*9.8/100</f>
        <v>210.7</v>
      </c>
      <c r="AE177">
        <v>4</v>
      </c>
      <c r="AF177">
        <v>35</v>
      </c>
      <c r="AG177">
        <v>0</v>
      </c>
      <c r="AH177">
        <v>0</v>
      </c>
      <c r="AI177">
        <v>4</v>
      </c>
      <c r="AJ177">
        <v>35</v>
      </c>
      <c r="AK177">
        <v>0</v>
      </c>
      <c r="AL177">
        <v>0</v>
      </c>
      <c r="AN177">
        <v>400</v>
      </c>
      <c r="AO177">
        <v>400</v>
      </c>
      <c r="AP177" t="s">
        <v>57</v>
      </c>
      <c r="AQ177" s="30" t="s">
        <v>251</v>
      </c>
      <c r="AR177">
        <v>19.100000000000001</v>
      </c>
      <c r="AS177">
        <v>287</v>
      </c>
      <c r="AT177">
        <f>7070*9.8/100</f>
        <v>692.86</v>
      </c>
      <c r="AU177">
        <f>2020*9.8/100</f>
        <v>197.96</v>
      </c>
      <c r="AV177" t="s">
        <v>40</v>
      </c>
      <c r="AW177">
        <v>50</v>
      </c>
      <c r="AX177">
        <v>2</v>
      </c>
      <c r="AY177">
        <v>6.35</v>
      </c>
      <c r="AZ177">
        <v>31.7</v>
      </c>
      <c r="BA177">
        <f>4180*9.8/100</f>
        <v>409.64</v>
      </c>
      <c r="BB177">
        <f>1870*9.8/100</f>
        <v>183.26</v>
      </c>
      <c r="BC177">
        <v>4</v>
      </c>
      <c r="BD177">
        <v>35</v>
      </c>
      <c r="BE177">
        <v>2</v>
      </c>
      <c r="BF177">
        <v>88</v>
      </c>
      <c r="BG177">
        <v>4</v>
      </c>
      <c r="BH177">
        <v>35</v>
      </c>
      <c r="BI177">
        <v>2</v>
      </c>
      <c r="BJ177">
        <v>88</v>
      </c>
      <c r="BL177" s="30">
        <v>0</v>
      </c>
      <c r="BM177" t="s">
        <v>381</v>
      </c>
      <c r="BN177" t="s">
        <v>785</v>
      </c>
      <c r="BQ177">
        <v>5</v>
      </c>
      <c r="BR177">
        <v>10</v>
      </c>
      <c r="BS177">
        <f>4180*9.8/100</f>
        <v>409.64</v>
      </c>
      <c r="BT177">
        <f>1870*9.8/100</f>
        <v>183.26</v>
      </c>
    </row>
    <row r="178" spans="1:74">
      <c r="A178">
        <v>173</v>
      </c>
      <c r="B178" s="1">
        <v>1</v>
      </c>
      <c r="C178">
        <v>48</v>
      </c>
      <c r="D178" t="s">
        <v>71</v>
      </c>
      <c r="E178">
        <v>1996</v>
      </c>
      <c r="F178" t="s">
        <v>27</v>
      </c>
      <c r="G178" t="s">
        <v>158</v>
      </c>
      <c r="H178" s="1" t="s">
        <v>252</v>
      </c>
      <c r="I178">
        <f>362*9.8/100</f>
        <v>35.476000000000006</v>
      </c>
      <c r="J178">
        <f>362*9.8/100</f>
        <v>35.476000000000006</v>
      </c>
      <c r="K178">
        <f>362*9.8/100</f>
        <v>35.476000000000006</v>
      </c>
      <c r="L178">
        <v>4500</v>
      </c>
      <c r="M178">
        <v>2250</v>
      </c>
      <c r="N178">
        <v>0</v>
      </c>
      <c r="O178">
        <f>0.2*600*600*35.48/1000</f>
        <v>2554.56</v>
      </c>
      <c r="P178">
        <v>380</v>
      </c>
      <c r="Q178">
        <v>600</v>
      </c>
      <c r="R178" t="s">
        <v>214</v>
      </c>
      <c r="S178" s="30" t="s">
        <v>243</v>
      </c>
      <c r="T178">
        <v>28.7</v>
      </c>
      <c r="U178">
        <v>642</v>
      </c>
      <c r="V178" s="1">
        <f>4211*9.8/100</f>
        <v>412.67800000000005</v>
      </c>
      <c r="W178" s="1">
        <f>1920*9.8/100</f>
        <v>188.16</v>
      </c>
      <c r="X178" t="s">
        <v>253</v>
      </c>
      <c r="Y178">
        <v>100</v>
      </c>
      <c r="Z178">
        <v>4</v>
      </c>
      <c r="AA178">
        <v>9.1999999999999993</v>
      </c>
      <c r="AB178">
        <v>66</v>
      </c>
      <c r="AC178" s="2">
        <f>13906*9.8/100</f>
        <v>1362.7880000000002</v>
      </c>
      <c r="AD178">
        <f>1930*9.8/100</f>
        <v>189.14</v>
      </c>
      <c r="AE178">
        <v>4</v>
      </c>
      <c r="AF178">
        <v>60</v>
      </c>
      <c r="AG178">
        <v>2</v>
      </c>
      <c r="AH178">
        <v>80</v>
      </c>
      <c r="AI178">
        <v>4</v>
      </c>
      <c r="AJ178">
        <v>60</v>
      </c>
      <c r="AK178">
        <v>2</v>
      </c>
      <c r="AL178">
        <v>80</v>
      </c>
      <c r="AN178">
        <v>600</v>
      </c>
      <c r="AO178">
        <v>600</v>
      </c>
      <c r="AP178" t="s">
        <v>214</v>
      </c>
      <c r="AQ178" s="30" t="s">
        <v>243</v>
      </c>
      <c r="AR178">
        <v>28.7</v>
      </c>
      <c r="AS178">
        <v>642</v>
      </c>
      <c r="AT178">
        <f>4211*9.8/100</f>
        <v>412.67800000000005</v>
      </c>
      <c r="AU178">
        <f>1920*9.8/100</f>
        <v>188.16</v>
      </c>
      <c r="AV178" t="s">
        <v>254</v>
      </c>
      <c r="AW178">
        <v>100</v>
      </c>
      <c r="AX178">
        <v>4</v>
      </c>
      <c r="AY178">
        <v>11.4</v>
      </c>
      <c r="AZ178">
        <v>102</v>
      </c>
      <c r="BA178">
        <f>13906*9.8/100</f>
        <v>1362.7880000000002</v>
      </c>
      <c r="BB178">
        <f>1930*9.8/100</f>
        <v>189.14</v>
      </c>
      <c r="BC178">
        <v>4</v>
      </c>
      <c r="BD178">
        <v>70</v>
      </c>
      <c r="BE178">
        <v>2</v>
      </c>
      <c r="BF178">
        <v>145</v>
      </c>
      <c r="BG178">
        <v>4</v>
      </c>
      <c r="BH178">
        <v>70</v>
      </c>
      <c r="BI178">
        <v>2</v>
      </c>
      <c r="BJ178">
        <v>145</v>
      </c>
      <c r="BL178" s="30">
        <v>0</v>
      </c>
      <c r="BM178" t="s">
        <v>381</v>
      </c>
      <c r="BN178" t="s">
        <v>786</v>
      </c>
      <c r="BP178" s="30">
        <v>102</v>
      </c>
      <c r="BQ178">
        <v>5</v>
      </c>
      <c r="BR178">
        <v>10</v>
      </c>
      <c r="BS178">
        <f>13906*9.8/100</f>
        <v>1362.7880000000002</v>
      </c>
      <c r="BT178">
        <f>1930*9.8/100</f>
        <v>189.14</v>
      </c>
      <c r="BU178" s="23">
        <v>0.32</v>
      </c>
    </row>
    <row r="179" spans="1:74">
      <c r="A179">
        <v>174</v>
      </c>
      <c r="B179" s="1">
        <v>1</v>
      </c>
      <c r="C179">
        <v>49</v>
      </c>
      <c r="D179" t="s">
        <v>72</v>
      </c>
      <c r="E179">
        <v>1997</v>
      </c>
      <c r="F179" t="s">
        <v>33</v>
      </c>
      <c r="G179" t="s">
        <v>158</v>
      </c>
      <c r="H179" s="1" t="s">
        <v>255</v>
      </c>
      <c r="I179">
        <f t="shared" ref="I179:K181" si="108">805*9.8/100</f>
        <v>78.890000000000015</v>
      </c>
      <c r="J179">
        <f t="shared" si="108"/>
        <v>78.890000000000015</v>
      </c>
      <c r="K179">
        <f t="shared" si="108"/>
        <v>78.890000000000015</v>
      </c>
      <c r="L179">
        <v>2800</v>
      </c>
      <c r="M179">
        <v>1500</v>
      </c>
      <c r="N179">
        <v>0</v>
      </c>
      <c r="O179">
        <f>0.1*600*9.8/100*450*450/1000</f>
        <v>1190.7</v>
      </c>
      <c r="P179">
        <v>300</v>
      </c>
      <c r="Q179">
        <v>475</v>
      </c>
      <c r="R179" t="s">
        <v>162</v>
      </c>
      <c r="S179" s="30" t="s">
        <v>256</v>
      </c>
      <c r="T179">
        <v>22.2</v>
      </c>
      <c r="U179">
        <v>387</v>
      </c>
      <c r="V179" s="1">
        <f>5120*9.8/100</f>
        <v>501.76</v>
      </c>
      <c r="W179" s="1">
        <f>19.8*9.8</f>
        <v>194.04000000000002</v>
      </c>
      <c r="X179" t="s">
        <v>153</v>
      </c>
      <c r="Y179">
        <v>100</v>
      </c>
      <c r="Z179">
        <v>4</v>
      </c>
      <c r="AA179">
        <v>9.5299999999999994</v>
      </c>
      <c r="AB179">
        <v>71.3</v>
      </c>
      <c r="AC179">
        <f>8490*9.8/100</f>
        <v>832.02</v>
      </c>
      <c r="AD179">
        <f>22.3*9.8</f>
        <v>218.54000000000002</v>
      </c>
      <c r="AE179">
        <v>4</v>
      </c>
      <c r="AF179">
        <v>37</v>
      </c>
      <c r="AG179">
        <v>2</v>
      </c>
      <c r="AH179">
        <v>61</v>
      </c>
      <c r="AI179">
        <v>4</v>
      </c>
      <c r="AJ179">
        <v>37</v>
      </c>
      <c r="AK179">
        <v>2</v>
      </c>
      <c r="AL179">
        <v>61</v>
      </c>
      <c r="AN179">
        <v>450</v>
      </c>
      <c r="AO179">
        <v>450</v>
      </c>
      <c r="AP179" t="s">
        <v>162</v>
      </c>
      <c r="AR179">
        <v>22.2</v>
      </c>
      <c r="AS179">
        <v>387</v>
      </c>
      <c r="AT179">
        <f>5120*9.8/100</f>
        <v>501.76</v>
      </c>
      <c r="AU179">
        <f>19.8*9.8</f>
        <v>194.04000000000002</v>
      </c>
      <c r="AV179" t="s">
        <v>62</v>
      </c>
      <c r="AW179">
        <v>80</v>
      </c>
      <c r="AX179">
        <v>4</v>
      </c>
      <c r="AY179">
        <v>12.7</v>
      </c>
      <c r="AZ179">
        <v>127</v>
      </c>
      <c r="BA179">
        <f>8330*9.8/100</f>
        <v>816.34</v>
      </c>
      <c r="BB179">
        <f>22.3*9.8</f>
        <v>218.54000000000002</v>
      </c>
      <c r="BC179">
        <v>5</v>
      </c>
      <c r="BD179">
        <v>50</v>
      </c>
      <c r="BE179">
        <v>2</v>
      </c>
      <c r="BF179">
        <v>100</v>
      </c>
      <c r="BG179">
        <v>5</v>
      </c>
      <c r="BH179">
        <v>50</v>
      </c>
      <c r="BI179">
        <v>2</v>
      </c>
      <c r="BJ179">
        <v>100</v>
      </c>
      <c r="BL179" s="30">
        <v>2</v>
      </c>
      <c r="BM179" t="s">
        <v>379</v>
      </c>
      <c r="BN179" t="s">
        <v>954</v>
      </c>
      <c r="BP179" s="30">
        <v>127</v>
      </c>
      <c r="BQ179">
        <v>4</v>
      </c>
      <c r="BR179">
        <v>16</v>
      </c>
      <c r="BS179">
        <f>8330*9.8/100</f>
        <v>816.34</v>
      </c>
      <c r="BT179">
        <f>22.3*9.8</f>
        <v>218.54000000000002</v>
      </c>
      <c r="BV179" s="23" t="s">
        <v>777</v>
      </c>
    </row>
    <row r="180" spans="1:74">
      <c r="A180">
        <v>175</v>
      </c>
      <c r="B180" s="1">
        <v>1</v>
      </c>
      <c r="G180" t="s">
        <v>160</v>
      </c>
      <c r="H180" s="1" t="s">
        <v>257</v>
      </c>
      <c r="I180">
        <f t="shared" si="108"/>
        <v>78.890000000000015</v>
      </c>
      <c r="J180">
        <f t="shared" si="108"/>
        <v>78.890000000000015</v>
      </c>
      <c r="K180">
        <f t="shared" si="108"/>
        <v>78.890000000000015</v>
      </c>
      <c r="L180">
        <v>2800</v>
      </c>
      <c r="M180">
        <v>1500</v>
      </c>
      <c r="N180">
        <v>0</v>
      </c>
      <c r="O180">
        <f>0.1*600*9.8/100*450*450/1000</f>
        <v>1190.7</v>
      </c>
      <c r="P180">
        <v>300</v>
      </c>
      <c r="Q180">
        <v>475</v>
      </c>
      <c r="R180" t="s">
        <v>162</v>
      </c>
      <c r="S180" s="30" t="s">
        <v>256</v>
      </c>
      <c r="T180">
        <v>22.2</v>
      </c>
      <c r="U180">
        <v>387</v>
      </c>
      <c r="V180" s="1">
        <f>5120*9.8/100</f>
        <v>501.76</v>
      </c>
      <c r="W180" s="1">
        <f>19.8*9.8</f>
        <v>194.04000000000002</v>
      </c>
      <c r="X180" t="s">
        <v>153</v>
      </c>
      <c r="Y180">
        <v>100</v>
      </c>
      <c r="Z180">
        <v>4</v>
      </c>
      <c r="AA180">
        <v>9.5299999999999994</v>
      </c>
      <c r="AB180">
        <v>71.3</v>
      </c>
      <c r="AC180">
        <f>8490*9.8/100</f>
        <v>832.02</v>
      </c>
      <c r="AD180">
        <f>22.3*9.8</f>
        <v>218.54000000000002</v>
      </c>
      <c r="AE180">
        <v>4</v>
      </c>
      <c r="AF180">
        <v>37</v>
      </c>
      <c r="AG180">
        <v>4</v>
      </c>
      <c r="AH180">
        <v>61</v>
      </c>
      <c r="AI180">
        <v>4</v>
      </c>
      <c r="AJ180">
        <v>37</v>
      </c>
      <c r="AK180">
        <v>4</v>
      </c>
      <c r="AL180">
        <v>61</v>
      </c>
      <c r="AN180">
        <v>450</v>
      </c>
      <c r="AO180">
        <v>450</v>
      </c>
      <c r="AP180" t="s">
        <v>162</v>
      </c>
      <c r="AR180">
        <v>22.2</v>
      </c>
      <c r="AS180">
        <v>387</v>
      </c>
      <c r="AT180">
        <f>5120*9.8/100</f>
        <v>501.76</v>
      </c>
      <c r="AU180">
        <f>19.8*9.8</f>
        <v>194.04000000000002</v>
      </c>
      <c r="AV180" t="s">
        <v>62</v>
      </c>
      <c r="AW180">
        <v>80</v>
      </c>
      <c r="AX180">
        <v>4</v>
      </c>
      <c r="AY180">
        <v>12.7</v>
      </c>
      <c r="AZ180">
        <v>127</v>
      </c>
      <c r="BA180">
        <f>8330*9.8/100</f>
        <v>816.34</v>
      </c>
      <c r="BB180">
        <f>22.3*9.8</f>
        <v>218.54000000000002</v>
      </c>
      <c r="BC180">
        <v>5</v>
      </c>
      <c r="BD180">
        <v>50</v>
      </c>
      <c r="BE180">
        <v>2</v>
      </c>
      <c r="BF180">
        <v>100</v>
      </c>
      <c r="BG180">
        <v>5</v>
      </c>
      <c r="BH180">
        <v>50</v>
      </c>
      <c r="BI180">
        <v>2</v>
      </c>
      <c r="BJ180">
        <v>100</v>
      </c>
      <c r="BL180" s="30">
        <v>2</v>
      </c>
      <c r="BM180" t="s">
        <v>379</v>
      </c>
      <c r="BN180" t="s">
        <v>954</v>
      </c>
      <c r="BP180" s="30">
        <v>127</v>
      </c>
      <c r="BQ180">
        <v>4</v>
      </c>
      <c r="BR180">
        <v>16</v>
      </c>
      <c r="BS180">
        <f>8330*9.8/100</f>
        <v>816.34</v>
      </c>
      <c r="BT180">
        <f>22.3*9.8</f>
        <v>218.54000000000002</v>
      </c>
      <c r="BV180" s="23" t="s">
        <v>777</v>
      </c>
    </row>
    <row r="181" spans="1:74">
      <c r="A181">
        <v>176</v>
      </c>
      <c r="B181" s="1">
        <v>1</v>
      </c>
      <c r="C181" s="17"/>
      <c r="D181" s="17"/>
      <c r="E181" s="17"/>
      <c r="F181" s="17"/>
      <c r="G181" s="17" t="s">
        <v>158</v>
      </c>
      <c r="H181" s="7" t="s">
        <v>258</v>
      </c>
      <c r="I181" s="17">
        <f t="shared" si="108"/>
        <v>78.890000000000015</v>
      </c>
      <c r="J181" s="17">
        <f t="shared" si="108"/>
        <v>78.890000000000015</v>
      </c>
      <c r="K181" s="17">
        <f t="shared" si="108"/>
        <v>78.890000000000015</v>
      </c>
      <c r="L181" s="17">
        <v>2800</v>
      </c>
      <c r="M181" s="17">
        <v>1500</v>
      </c>
      <c r="N181" s="17">
        <v>0</v>
      </c>
      <c r="O181" s="17">
        <f>0.1*600*9.8/100*450*450/1000</f>
        <v>1190.7</v>
      </c>
      <c r="P181" s="17">
        <v>300</v>
      </c>
      <c r="Q181" s="17">
        <v>475</v>
      </c>
      <c r="R181" s="17" t="s">
        <v>213</v>
      </c>
      <c r="S181" s="31" t="s">
        <v>256</v>
      </c>
      <c r="T181" s="17">
        <v>22.2</v>
      </c>
      <c r="U181" s="17">
        <v>387</v>
      </c>
      <c r="V181" s="7">
        <f>5120*9.8/100</f>
        <v>501.76</v>
      </c>
      <c r="W181" s="7">
        <f>19.8*9.8</f>
        <v>194.04000000000002</v>
      </c>
      <c r="X181" s="17" t="s">
        <v>153</v>
      </c>
      <c r="Y181" s="17">
        <v>100</v>
      </c>
      <c r="Z181" s="17">
        <v>4</v>
      </c>
      <c r="AA181" s="17">
        <v>9.5299999999999994</v>
      </c>
      <c r="AB181" s="17">
        <v>71.3</v>
      </c>
      <c r="AC181" s="17">
        <f>8490*9.8/100</f>
        <v>832.02</v>
      </c>
      <c r="AD181" s="17">
        <f>22.3*9.8</f>
        <v>218.54000000000002</v>
      </c>
      <c r="AE181" s="17">
        <v>4</v>
      </c>
      <c r="AF181" s="17">
        <v>37</v>
      </c>
      <c r="AG181" s="17">
        <v>1</v>
      </c>
      <c r="AH181" s="17">
        <v>61</v>
      </c>
      <c r="AI181" s="17">
        <v>4</v>
      </c>
      <c r="AJ181" s="17">
        <v>37</v>
      </c>
      <c r="AK181" s="17">
        <v>1</v>
      </c>
      <c r="AL181" s="17">
        <v>61</v>
      </c>
      <c r="AM181" s="31"/>
      <c r="AN181" s="17">
        <v>450</v>
      </c>
      <c r="AO181" s="17">
        <v>450</v>
      </c>
      <c r="AP181" s="17" t="s">
        <v>162</v>
      </c>
      <c r="AQ181" s="31"/>
      <c r="AR181" s="17">
        <v>22.2</v>
      </c>
      <c r="AS181" s="17">
        <v>387</v>
      </c>
      <c r="AT181" s="17">
        <f>5120*9.8/100</f>
        <v>501.76</v>
      </c>
      <c r="AU181" s="17">
        <f>19.8*9.8</f>
        <v>194.04000000000002</v>
      </c>
      <c r="AV181" s="17" t="s">
        <v>62</v>
      </c>
      <c r="AW181" s="17">
        <v>80</v>
      </c>
      <c r="AX181" s="17">
        <v>4</v>
      </c>
      <c r="AY181" s="17">
        <v>12.7</v>
      </c>
      <c r="AZ181" s="17">
        <v>127</v>
      </c>
      <c r="BA181" s="17">
        <f>8330*9.8/100</f>
        <v>816.34</v>
      </c>
      <c r="BB181" s="17">
        <f>22.3*9.8</f>
        <v>218.54000000000002</v>
      </c>
      <c r="BC181" s="17">
        <v>5</v>
      </c>
      <c r="BD181" s="17">
        <v>50</v>
      </c>
      <c r="BE181" s="17">
        <v>2</v>
      </c>
      <c r="BF181" s="17">
        <v>100</v>
      </c>
      <c r="BG181" s="17">
        <v>5</v>
      </c>
      <c r="BH181" s="17">
        <v>50</v>
      </c>
      <c r="BI181" s="17">
        <v>2</v>
      </c>
      <c r="BJ181" s="17">
        <v>100</v>
      </c>
      <c r="BK181" s="31"/>
      <c r="BL181" s="31">
        <v>2</v>
      </c>
      <c r="BM181" s="17" t="s">
        <v>379</v>
      </c>
      <c r="BN181" s="17" t="s">
        <v>954</v>
      </c>
      <c r="BO181" s="31"/>
      <c r="BP181" s="31">
        <v>127</v>
      </c>
      <c r="BQ181" s="17">
        <v>4</v>
      </c>
      <c r="BR181" s="17">
        <v>16</v>
      </c>
      <c r="BS181" s="17">
        <f>8330*9.8/100</f>
        <v>816.34</v>
      </c>
      <c r="BT181" s="17">
        <f>22.3*9.8</f>
        <v>218.54000000000002</v>
      </c>
      <c r="BU181" s="86"/>
      <c r="BV181" s="86" t="s">
        <v>777</v>
      </c>
    </row>
    <row r="182" spans="1:74">
      <c r="A182">
        <v>177</v>
      </c>
      <c r="B182" s="1">
        <v>1</v>
      </c>
      <c r="G182" t="s">
        <v>158</v>
      </c>
      <c r="H182" s="1" t="s">
        <v>259</v>
      </c>
      <c r="I182">
        <f>523*9.8/100</f>
        <v>51.254000000000005</v>
      </c>
      <c r="J182">
        <f>523*9.8/100</f>
        <v>51.254000000000005</v>
      </c>
      <c r="K182">
        <f>523*9.8/100</f>
        <v>51.254000000000005</v>
      </c>
      <c r="L182">
        <v>2800</v>
      </c>
      <c r="M182">
        <v>1500</v>
      </c>
      <c r="N182">
        <v>0</v>
      </c>
      <c r="O182">
        <f>0.1*480*9.8/100*450*450/1000</f>
        <v>952.56000000000017</v>
      </c>
      <c r="P182">
        <v>300</v>
      </c>
      <c r="Q182">
        <v>475</v>
      </c>
      <c r="R182" t="s">
        <v>213</v>
      </c>
      <c r="S182" s="30" t="s">
        <v>256</v>
      </c>
      <c r="T182">
        <v>22.2</v>
      </c>
      <c r="U182">
        <v>387</v>
      </c>
      <c r="V182" s="1">
        <f>5450*9.8/100</f>
        <v>534.1</v>
      </c>
      <c r="W182" s="1">
        <f>20.4*9.8</f>
        <v>199.92</v>
      </c>
      <c r="X182" t="s">
        <v>153</v>
      </c>
      <c r="Y182">
        <v>100</v>
      </c>
      <c r="Z182">
        <v>4</v>
      </c>
      <c r="AA182">
        <v>9.5299999999999994</v>
      </c>
      <c r="AB182">
        <v>71.3</v>
      </c>
      <c r="AC182">
        <f>8490*9.8/100</f>
        <v>832.02</v>
      </c>
      <c r="AD182">
        <f>22.3*9.8</f>
        <v>218.54000000000002</v>
      </c>
      <c r="AE182">
        <v>4</v>
      </c>
      <c r="AF182">
        <v>37</v>
      </c>
      <c r="AG182">
        <v>0</v>
      </c>
      <c r="AH182">
        <v>61</v>
      </c>
      <c r="AI182">
        <v>4</v>
      </c>
      <c r="AJ182">
        <v>37</v>
      </c>
      <c r="AK182">
        <v>0</v>
      </c>
      <c r="AL182">
        <v>61</v>
      </c>
      <c r="AN182">
        <v>450</v>
      </c>
      <c r="AO182">
        <v>450</v>
      </c>
      <c r="AP182" t="s">
        <v>162</v>
      </c>
      <c r="AR182">
        <v>22.2</v>
      </c>
      <c r="AS182">
        <v>387</v>
      </c>
      <c r="AT182">
        <f>5120*9.8/100</f>
        <v>501.76</v>
      </c>
      <c r="AU182">
        <f>19.8*9.8</f>
        <v>194.04000000000002</v>
      </c>
      <c r="AV182" t="s">
        <v>62</v>
      </c>
      <c r="AW182">
        <v>80</v>
      </c>
      <c r="AX182">
        <v>4</v>
      </c>
      <c r="AY182">
        <v>12.7</v>
      </c>
      <c r="AZ182">
        <v>127</v>
      </c>
      <c r="BA182">
        <f>8330*9.8/100</f>
        <v>816.34</v>
      </c>
      <c r="BB182">
        <f>22.3*9.8</f>
        <v>218.54000000000002</v>
      </c>
      <c r="BC182">
        <v>5</v>
      </c>
      <c r="BD182">
        <v>50</v>
      </c>
      <c r="BE182">
        <v>2</v>
      </c>
      <c r="BF182">
        <v>100</v>
      </c>
      <c r="BG182">
        <v>5</v>
      </c>
      <c r="BH182">
        <v>50</v>
      </c>
      <c r="BI182">
        <v>2</v>
      </c>
      <c r="BJ182">
        <v>100</v>
      </c>
      <c r="BL182" s="30">
        <v>2</v>
      </c>
      <c r="BM182" t="s">
        <v>379</v>
      </c>
      <c r="BN182" t="s">
        <v>954</v>
      </c>
      <c r="BP182" s="30">
        <v>127</v>
      </c>
      <c r="BQ182">
        <v>4</v>
      </c>
      <c r="BR182">
        <v>16</v>
      </c>
      <c r="BS182">
        <f>8330*9.8/100</f>
        <v>816.34</v>
      </c>
      <c r="BT182">
        <f>22.3*9.8</f>
        <v>218.54000000000002</v>
      </c>
      <c r="BV182" s="23" t="s">
        <v>777</v>
      </c>
    </row>
    <row r="183" spans="1:74">
      <c r="A183">
        <v>178</v>
      </c>
      <c r="B183" s="1">
        <v>1</v>
      </c>
      <c r="C183">
        <v>50</v>
      </c>
      <c r="D183" t="s">
        <v>579</v>
      </c>
      <c r="E183">
        <v>1997</v>
      </c>
      <c r="F183" t="s">
        <v>33</v>
      </c>
      <c r="G183" t="s">
        <v>160</v>
      </c>
      <c r="H183" s="1" t="s">
        <v>260</v>
      </c>
      <c r="I183">
        <v>85.5</v>
      </c>
      <c r="J183">
        <v>85.5</v>
      </c>
      <c r="K183">
        <v>85.5</v>
      </c>
      <c r="L183">
        <v>3800</v>
      </c>
      <c r="M183">
        <v>1600</v>
      </c>
      <c r="N183">
        <v>0</v>
      </c>
      <c r="O183">
        <f>0.2*80*475*475/1000</f>
        <v>3610</v>
      </c>
      <c r="P183">
        <v>325</v>
      </c>
      <c r="Q183">
        <v>450</v>
      </c>
      <c r="R183" t="s">
        <v>162</v>
      </c>
      <c r="T183">
        <v>22.2</v>
      </c>
      <c r="U183">
        <v>387</v>
      </c>
      <c r="V183" s="1">
        <v>522</v>
      </c>
      <c r="W183" s="1">
        <v>201</v>
      </c>
      <c r="X183" t="s">
        <v>181</v>
      </c>
      <c r="Y183">
        <v>75</v>
      </c>
      <c r="Z183">
        <v>4</v>
      </c>
      <c r="AA183">
        <v>6.4</v>
      </c>
      <c r="AB183">
        <v>30</v>
      </c>
      <c r="AC183">
        <v>1365</v>
      </c>
      <c r="AD183">
        <v>210</v>
      </c>
      <c r="AE183">
        <v>5</v>
      </c>
      <c r="AF183">
        <v>39</v>
      </c>
      <c r="AG183">
        <v>4</v>
      </c>
      <c r="AH183">
        <v>58</v>
      </c>
      <c r="AI183">
        <v>5</v>
      </c>
      <c r="AJ183">
        <v>39</v>
      </c>
      <c r="AK183">
        <v>4</v>
      </c>
      <c r="AL183">
        <v>58</v>
      </c>
      <c r="AN183">
        <v>475</v>
      </c>
      <c r="AO183">
        <v>475</v>
      </c>
      <c r="AP183" t="s">
        <v>162</v>
      </c>
      <c r="AR183">
        <v>22.2</v>
      </c>
      <c r="AS183">
        <v>387</v>
      </c>
      <c r="AT183">
        <v>522</v>
      </c>
      <c r="AU183">
        <v>201</v>
      </c>
      <c r="AV183" t="s">
        <v>181</v>
      </c>
      <c r="AW183">
        <v>65</v>
      </c>
      <c r="AX183">
        <v>4</v>
      </c>
      <c r="AY183">
        <v>6.4</v>
      </c>
      <c r="AZ183">
        <v>30</v>
      </c>
      <c r="BA183">
        <v>1365</v>
      </c>
      <c r="BB183">
        <v>210</v>
      </c>
      <c r="BC183">
        <v>5</v>
      </c>
      <c r="BD183">
        <v>39</v>
      </c>
      <c r="BE183">
        <v>2</v>
      </c>
      <c r="BF183">
        <v>110</v>
      </c>
      <c r="BG183">
        <v>5</v>
      </c>
      <c r="BH183">
        <v>39</v>
      </c>
      <c r="BI183">
        <v>2</v>
      </c>
      <c r="BJ183">
        <v>110</v>
      </c>
      <c r="BL183" s="30">
        <v>2</v>
      </c>
      <c r="BM183" t="s">
        <v>379</v>
      </c>
      <c r="BN183" t="s">
        <v>955</v>
      </c>
      <c r="BP183" s="30">
        <v>30</v>
      </c>
      <c r="BQ183">
        <v>5</v>
      </c>
      <c r="BR183">
        <v>20</v>
      </c>
      <c r="BS183">
        <v>928</v>
      </c>
      <c r="BT183">
        <v>222</v>
      </c>
      <c r="BV183" s="23" t="s">
        <v>777</v>
      </c>
    </row>
    <row r="184" spans="1:74">
      <c r="A184">
        <v>179</v>
      </c>
      <c r="B184" s="1">
        <v>1</v>
      </c>
      <c r="G184" t="s">
        <v>158</v>
      </c>
      <c r="H184" s="1" t="s">
        <v>261</v>
      </c>
      <c r="I184">
        <v>66.099999999999994</v>
      </c>
      <c r="J184">
        <v>66.099999999999994</v>
      </c>
      <c r="K184">
        <v>66.099999999999994</v>
      </c>
      <c r="L184">
        <v>3800</v>
      </c>
      <c r="M184">
        <v>1600</v>
      </c>
      <c r="N184">
        <v>0</v>
      </c>
      <c r="O184">
        <f>0.2*80*475*475/1000</f>
        <v>3610</v>
      </c>
      <c r="P184">
        <v>425</v>
      </c>
      <c r="Q184">
        <v>295</v>
      </c>
      <c r="R184" t="s">
        <v>162</v>
      </c>
      <c r="T184">
        <v>22.2</v>
      </c>
      <c r="U184">
        <v>387</v>
      </c>
      <c r="V184" s="1">
        <v>522</v>
      </c>
      <c r="W184" s="1">
        <v>201</v>
      </c>
      <c r="X184" t="s">
        <v>181</v>
      </c>
      <c r="Y184">
        <v>75</v>
      </c>
      <c r="Z184">
        <v>4</v>
      </c>
      <c r="AA184">
        <v>6.4</v>
      </c>
      <c r="AB184">
        <v>30</v>
      </c>
      <c r="AC184">
        <v>1365</v>
      </c>
      <c r="AD184">
        <v>210</v>
      </c>
      <c r="AE184">
        <v>5</v>
      </c>
      <c r="AF184">
        <v>25</v>
      </c>
      <c r="AG184">
        <v>2</v>
      </c>
      <c r="AH184">
        <v>38</v>
      </c>
      <c r="AI184">
        <v>5</v>
      </c>
      <c r="AJ184">
        <v>25</v>
      </c>
      <c r="AK184">
        <v>2</v>
      </c>
      <c r="AL184">
        <v>38</v>
      </c>
      <c r="AN184">
        <v>475</v>
      </c>
      <c r="AO184">
        <v>425</v>
      </c>
      <c r="AP184" t="s">
        <v>162</v>
      </c>
      <c r="AR184">
        <v>22.2</v>
      </c>
      <c r="AS184">
        <v>387</v>
      </c>
      <c r="AT184">
        <v>522</v>
      </c>
      <c r="AU184">
        <v>201</v>
      </c>
      <c r="AV184" t="s">
        <v>181</v>
      </c>
      <c r="AW184">
        <v>65</v>
      </c>
      <c r="AX184">
        <v>4</v>
      </c>
      <c r="AY184">
        <v>6.4</v>
      </c>
      <c r="AZ184">
        <v>30</v>
      </c>
      <c r="BA184">
        <v>1365</v>
      </c>
      <c r="BB184">
        <v>210</v>
      </c>
      <c r="BC184">
        <v>5</v>
      </c>
      <c r="BD184">
        <v>34</v>
      </c>
      <c r="BE184">
        <v>2</v>
      </c>
      <c r="BF184">
        <v>98</v>
      </c>
      <c r="BG184">
        <v>5</v>
      </c>
      <c r="BH184">
        <v>34</v>
      </c>
      <c r="BI184">
        <v>2</v>
      </c>
      <c r="BJ184">
        <v>98</v>
      </c>
      <c r="BL184" s="30">
        <v>2</v>
      </c>
      <c r="BM184" t="s">
        <v>379</v>
      </c>
      <c r="BN184" t="s">
        <v>955</v>
      </c>
      <c r="BP184" s="30">
        <v>30</v>
      </c>
      <c r="BQ184">
        <v>3</v>
      </c>
      <c r="BR184">
        <v>12</v>
      </c>
      <c r="BS184">
        <v>928</v>
      </c>
      <c r="BT184">
        <v>222</v>
      </c>
      <c r="BV184" s="23" t="s">
        <v>777</v>
      </c>
    </row>
    <row r="185" spans="1:74">
      <c r="A185">
        <v>180</v>
      </c>
      <c r="B185" s="1">
        <v>2</v>
      </c>
      <c r="C185">
        <v>51</v>
      </c>
      <c r="D185" t="s">
        <v>74</v>
      </c>
      <c r="E185">
        <v>1997</v>
      </c>
      <c r="F185" t="s">
        <v>27</v>
      </c>
      <c r="G185" t="s">
        <v>160</v>
      </c>
      <c r="H185" s="51" t="s">
        <v>201</v>
      </c>
      <c r="I185">
        <f t="shared" ref="I185:K189" si="109">291*9.8/100</f>
        <v>28.518000000000001</v>
      </c>
      <c r="J185">
        <f t="shared" si="109"/>
        <v>28.518000000000001</v>
      </c>
      <c r="K185">
        <f t="shared" si="109"/>
        <v>28.518000000000001</v>
      </c>
      <c r="L185">
        <v>2000</v>
      </c>
      <c r="M185">
        <v>1400</v>
      </c>
      <c r="N185">
        <v>0</v>
      </c>
      <c r="O185">
        <f>30*9.8</f>
        <v>294</v>
      </c>
      <c r="P185">
        <v>180</v>
      </c>
      <c r="Q185">
        <v>250</v>
      </c>
      <c r="R185" t="s">
        <v>39</v>
      </c>
      <c r="T185">
        <v>15.9</v>
      </c>
      <c r="U185">
        <v>199</v>
      </c>
      <c r="V185" s="1">
        <f>3950*9.8/100</f>
        <v>387.1</v>
      </c>
      <c r="W185" s="1">
        <f>1940*9.8/100</f>
        <v>190.12</v>
      </c>
      <c r="X185" t="s">
        <v>40</v>
      </c>
      <c r="Z185">
        <v>2</v>
      </c>
      <c r="AA185">
        <v>6.35</v>
      </c>
      <c r="AB185">
        <v>31.7</v>
      </c>
      <c r="AC185">
        <f>4300*9.8/100</f>
        <v>421.4</v>
      </c>
      <c r="AD185">
        <f>1860*9.8/100</f>
        <v>182.28</v>
      </c>
      <c r="AE185">
        <v>3</v>
      </c>
      <c r="AF185">
        <v>40</v>
      </c>
      <c r="AG185">
        <v>0</v>
      </c>
      <c r="AH185">
        <v>0</v>
      </c>
      <c r="AI185">
        <v>3</v>
      </c>
      <c r="AJ185">
        <v>40</v>
      </c>
      <c r="AK185">
        <v>0</v>
      </c>
      <c r="AL185">
        <v>0</v>
      </c>
      <c r="AN185">
        <v>250</v>
      </c>
      <c r="AO185">
        <v>250</v>
      </c>
      <c r="AP185" t="s">
        <v>39</v>
      </c>
      <c r="AR185">
        <v>15.9</v>
      </c>
      <c r="AS185">
        <v>199</v>
      </c>
      <c r="AT185">
        <f>3950*9.8/100</f>
        <v>387.1</v>
      </c>
      <c r="AU185">
        <f>1940*9.8/100</f>
        <v>190.12</v>
      </c>
      <c r="AV185" t="s">
        <v>40</v>
      </c>
      <c r="AX185">
        <v>2</v>
      </c>
      <c r="AY185">
        <v>6.35</v>
      </c>
      <c r="AZ185">
        <v>31.7</v>
      </c>
      <c r="BA185">
        <f>4300*9.8/100</f>
        <v>421.4</v>
      </c>
      <c r="BB185">
        <f>1860*9.8/100</f>
        <v>182.28</v>
      </c>
      <c r="BC185">
        <v>2</v>
      </c>
      <c r="BD185">
        <v>40</v>
      </c>
      <c r="BE185">
        <v>2</v>
      </c>
      <c r="BF185">
        <v>50</v>
      </c>
      <c r="BG185">
        <v>2</v>
      </c>
      <c r="BH185">
        <v>40</v>
      </c>
      <c r="BI185">
        <v>2</v>
      </c>
      <c r="BJ185">
        <v>50</v>
      </c>
      <c r="BL185" s="30">
        <v>0</v>
      </c>
      <c r="BM185" t="s">
        <v>381</v>
      </c>
      <c r="BN185" t="s">
        <v>785</v>
      </c>
      <c r="BQ185">
        <v>1</v>
      </c>
      <c r="BR185">
        <v>2</v>
      </c>
      <c r="BS185">
        <f>4300*9.8/100</f>
        <v>421.4</v>
      </c>
      <c r="BT185">
        <f>1860*9.8/100</f>
        <v>182.28</v>
      </c>
      <c r="BU185" s="23">
        <v>0.14000000000000001</v>
      </c>
    </row>
    <row r="186" spans="1:74">
      <c r="A186">
        <v>181</v>
      </c>
      <c r="B186" s="1">
        <v>2</v>
      </c>
      <c r="G186" t="s">
        <v>160</v>
      </c>
      <c r="H186" s="51" t="s">
        <v>104</v>
      </c>
      <c r="I186">
        <f t="shared" si="109"/>
        <v>28.518000000000001</v>
      </c>
      <c r="J186">
        <f t="shared" si="109"/>
        <v>28.518000000000001</v>
      </c>
      <c r="K186">
        <f t="shared" si="109"/>
        <v>28.518000000000001</v>
      </c>
      <c r="L186">
        <v>2000</v>
      </c>
      <c r="M186">
        <v>1400</v>
      </c>
      <c r="N186">
        <v>0</v>
      </c>
      <c r="O186">
        <f>30*9.8</f>
        <v>294</v>
      </c>
      <c r="P186">
        <v>180</v>
      </c>
      <c r="Q186">
        <v>250</v>
      </c>
      <c r="R186" t="s">
        <v>39</v>
      </c>
      <c r="T186">
        <v>15.9</v>
      </c>
      <c r="U186">
        <v>199</v>
      </c>
      <c r="V186" s="1">
        <f>3950*9.8/100</f>
        <v>387.1</v>
      </c>
      <c r="W186" s="1">
        <f>1940*9.8/100</f>
        <v>190.12</v>
      </c>
      <c r="X186" t="s">
        <v>40</v>
      </c>
      <c r="Z186">
        <v>2</v>
      </c>
      <c r="AA186">
        <v>6.35</v>
      </c>
      <c r="AB186">
        <v>31.7</v>
      </c>
      <c r="AC186">
        <f>4300*9.8/100</f>
        <v>421.4</v>
      </c>
      <c r="AD186">
        <f>1860*9.8/100</f>
        <v>182.28</v>
      </c>
      <c r="AE186">
        <v>3</v>
      </c>
      <c r="AF186">
        <v>40</v>
      </c>
      <c r="AG186">
        <v>0</v>
      </c>
      <c r="AH186">
        <v>0</v>
      </c>
      <c r="AI186">
        <v>3</v>
      </c>
      <c r="AJ186">
        <v>40</v>
      </c>
      <c r="AK186">
        <v>0</v>
      </c>
      <c r="AL186">
        <v>0</v>
      </c>
      <c r="AN186">
        <v>250</v>
      </c>
      <c r="AO186">
        <v>250</v>
      </c>
      <c r="AP186" t="s">
        <v>39</v>
      </c>
      <c r="AR186">
        <v>15.9</v>
      </c>
      <c r="AS186">
        <v>199</v>
      </c>
      <c r="AT186">
        <f>3950*9.8/100</f>
        <v>387.1</v>
      </c>
      <c r="AU186">
        <f>1940*9.8/100</f>
        <v>190.12</v>
      </c>
      <c r="AV186" t="s">
        <v>40</v>
      </c>
      <c r="AX186">
        <v>2</v>
      </c>
      <c r="AY186">
        <v>6.35</v>
      </c>
      <c r="AZ186">
        <v>31.7</v>
      </c>
      <c r="BA186">
        <f>4300*9.8/100</f>
        <v>421.4</v>
      </c>
      <c r="BB186">
        <f>1860*9.8/100</f>
        <v>182.28</v>
      </c>
      <c r="BC186">
        <v>2</v>
      </c>
      <c r="BD186">
        <v>40</v>
      </c>
      <c r="BE186">
        <v>2</v>
      </c>
      <c r="BF186">
        <v>50</v>
      </c>
      <c r="BG186">
        <v>2</v>
      </c>
      <c r="BH186">
        <v>40</v>
      </c>
      <c r="BI186">
        <v>2</v>
      </c>
      <c r="BJ186">
        <v>50</v>
      </c>
      <c r="BM186" t="s">
        <v>381</v>
      </c>
      <c r="BN186" t="s">
        <v>785</v>
      </c>
      <c r="BQ186">
        <v>2</v>
      </c>
      <c r="BR186">
        <v>4</v>
      </c>
      <c r="BS186">
        <f>4300*9.8/100</f>
        <v>421.4</v>
      </c>
      <c r="BT186">
        <f>1860*9.8/100</f>
        <v>182.28</v>
      </c>
      <c r="BU186" s="23">
        <v>0.28000000000000003</v>
      </c>
    </row>
    <row r="187" spans="1:74">
      <c r="A187">
        <v>182</v>
      </c>
      <c r="B187" s="1">
        <v>2</v>
      </c>
      <c r="G187" t="s">
        <v>160</v>
      </c>
      <c r="H187" s="51" t="s">
        <v>105</v>
      </c>
      <c r="I187">
        <f t="shared" si="109"/>
        <v>28.518000000000001</v>
      </c>
      <c r="J187">
        <f t="shared" si="109"/>
        <v>28.518000000000001</v>
      </c>
      <c r="K187">
        <f t="shared" si="109"/>
        <v>28.518000000000001</v>
      </c>
      <c r="L187">
        <v>2000</v>
      </c>
      <c r="M187">
        <v>1400</v>
      </c>
      <c r="N187">
        <v>0</v>
      </c>
      <c r="O187">
        <f>30*9.8</f>
        <v>294</v>
      </c>
      <c r="P187">
        <v>180</v>
      </c>
      <c r="Q187">
        <v>250</v>
      </c>
      <c r="R187" t="s">
        <v>39</v>
      </c>
      <c r="T187">
        <v>15.9</v>
      </c>
      <c r="U187">
        <v>199</v>
      </c>
      <c r="V187" s="1">
        <f>3950*9.8/100</f>
        <v>387.1</v>
      </c>
      <c r="W187" s="1">
        <f>1940*9.8/100</f>
        <v>190.12</v>
      </c>
      <c r="X187" t="s">
        <v>40</v>
      </c>
      <c r="Z187">
        <v>2</v>
      </c>
      <c r="AA187">
        <v>6.35</v>
      </c>
      <c r="AB187">
        <v>31.7</v>
      </c>
      <c r="AC187">
        <f>4300*9.8/100</f>
        <v>421.4</v>
      </c>
      <c r="AD187">
        <f>1860*9.8/100</f>
        <v>182.28</v>
      </c>
      <c r="AE187">
        <v>3</v>
      </c>
      <c r="AF187">
        <v>40</v>
      </c>
      <c r="AG187">
        <v>0</v>
      </c>
      <c r="AH187">
        <v>0</v>
      </c>
      <c r="AI187">
        <v>3</v>
      </c>
      <c r="AJ187">
        <v>40</v>
      </c>
      <c r="AK187">
        <v>0</v>
      </c>
      <c r="AL187">
        <v>0</v>
      </c>
      <c r="AN187">
        <v>250</v>
      </c>
      <c r="AO187">
        <v>250</v>
      </c>
      <c r="AP187" t="s">
        <v>39</v>
      </c>
      <c r="AR187">
        <v>15.9</v>
      </c>
      <c r="AS187">
        <v>199</v>
      </c>
      <c r="AT187">
        <f>3950*9.8/100</f>
        <v>387.1</v>
      </c>
      <c r="AU187">
        <f>1940*9.8/100</f>
        <v>190.12</v>
      </c>
      <c r="AV187" t="s">
        <v>40</v>
      </c>
      <c r="AX187">
        <v>2</v>
      </c>
      <c r="AY187">
        <v>6.35</v>
      </c>
      <c r="AZ187">
        <v>31.7</v>
      </c>
      <c r="BA187">
        <f>4300*9.8/100</f>
        <v>421.4</v>
      </c>
      <c r="BB187">
        <f>1860*9.8/100</f>
        <v>182.28</v>
      </c>
      <c r="BC187">
        <v>2</v>
      </c>
      <c r="BD187">
        <v>40</v>
      </c>
      <c r="BE187">
        <v>2</v>
      </c>
      <c r="BF187">
        <v>50</v>
      </c>
      <c r="BG187">
        <v>2</v>
      </c>
      <c r="BH187">
        <v>40</v>
      </c>
      <c r="BI187">
        <v>2</v>
      </c>
      <c r="BJ187">
        <v>50</v>
      </c>
      <c r="BM187" t="s">
        <v>381</v>
      </c>
      <c r="BN187" t="s">
        <v>40</v>
      </c>
      <c r="BQ187">
        <v>4</v>
      </c>
      <c r="BR187">
        <v>8</v>
      </c>
      <c r="BS187">
        <f>4300*9.8/100</f>
        <v>421.4</v>
      </c>
      <c r="BT187">
        <f>1860*9.8/100</f>
        <v>182.28</v>
      </c>
      <c r="BU187" s="23">
        <v>0.56000000000000005</v>
      </c>
    </row>
    <row r="188" spans="1:74">
      <c r="A188">
        <v>183</v>
      </c>
      <c r="B188" s="1">
        <v>2</v>
      </c>
      <c r="G188" t="s">
        <v>158</v>
      </c>
      <c r="H188" s="51" t="s">
        <v>107</v>
      </c>
      <c r="I188">
        <f t="shared" si="109"/>
        <v>28.518000000000001</v>
      </c>
      <c r="J188">
        <f t="shared" si="109"/>
        <v>28.518000000000001</v>
      </c>
      <c r="K188">
        <f t="shared" si="109"/>
        <v>28.518000000000001</v>
      </c>
      <c r="L188">
        <v>2000</v>
      </c>
      <c r="M188">
        <v>1400</v>
      </c>
      <c r="N188">
        <v>0</v>
      </c>
      <c r="O188">
        <f>30*9.8</f>
        <v>294</v>
      </c>
      <c r="P188">
        <v>180</v>
      </c>
      <c r="Q188">
        <v>250</v>
      </c>
      <c r="R188" t="s">
        <v>39</v>
      </c>
      <c r="T188">
        <v>15.9</v>
      </c>
      <c r="U188">
        <v>199</v>
      </c>
      <c r="V188" s="1">
        <f>3950*9.8/100</f>
        <v>387.1</v>
      </c>
      <c r="W188" s="1">
        <f>1940*9.8/100</f>
        <v>190.12</v>
      </c>
      <c r="X188" t="s">
        <v>40</v>
      </c>
      <c r="Z188">
        <v>2</v>
      </c>
      <c r="AA188">
        <v>6.35</v>
      </c>
      <c r="AB188">
        <v>31.7</v>
      </c>
      <c r="AC188">
        <f>4300*9.8/100</f>
        <v>421.4</v>
      </c>
      <c r="AD188">
        <f>1860*9.8/100</f>
        <v>182.28</v>
      </c>
      <c r="AE188">
        <v>2</v>
      </c>
      <c r="AF188">
        <v>40</v>
      </c>
      <c r="AG188">
        <v>0</v>
      </c>
      <c r="AH188">
        <v>0</v>
      </c>
      <c r="AI188">
        <v>2</v>
      </c>
      <c r="AJ188">
        <v>40</v>
      </c>
      <c r="AK188">
        <v>0</v>
      </c>
      <c r="AL188">
        <v>0</v>
      </c>
      <c r="AN188">
        <v>250</v>
      </c>
      <c r="AO188">
        <v>250</v>
      </c>
      <c r="AP188" t="s">
        <v>39</v>
      </c>
      <c r="AR188">
        <v>15.9</v>
      </c>
      <c r="AS188">
        <v>199</v>
      </c>
      <c r="AT188">
        <f>3950*9.8/100</f>
        <v>387.1</v>
      </c>
      <c r="AU188">
        <f>1940*9.8/100</f>
        <v>190.12</v>
      </c>
      <c r="AV188" t="s">
        <v>40</v>
      </c>
      <c r="AX188">
        <v>2</v>
      </c>
      <c r="AY188">
        <v>6.35</v>
      </c>
      <c r="AZ188">
        <v>31.7</v>
      </c>
      <c r="BA188">
        <f>4300*9.8/100</f>
        <v>421.4</v>
      </c>
      <c r="BB188">
        <f>1860*9.8/100</f>
        <v>182.28</v>
      </c>
      <c r="BC188">
        <v>2</v>
      </c>
      <c r="BD188">
        <v>40</v>
      </c>
      <c r="BE188">
        <v>2</v>
      </c>
      <c r="BF188">
        <v>50</v>
      </c>
      <c r="BG188">
        <v>2</v>
      </c>
      <c r="BH188">
        <v>40</v>
      </c>
      <c r="BI188">
        <v>2</v>
      </c>
      <c r="BJ188">
        <v>50</v>
      </c>
      <c r="BM188" t="s">
        <v>381</v>
      </c>
      <c r="BN188" t="s">
        <v>40</v>
      </c>
      <c r="BQ188">
        <v>2</v>
      </c>
      <c r="BR188">
        <v>4</v>
      </c>
      <c r="BS188">
        <f>4300*9.8/100</f>
        <v>421.4</v>
      </c>
      <c r="BT188">
        <f>1860*9.8/100</f>
        <v>182.28</v>
      </c>
      <c r="BU188" s="23">
        <v>0.28000000000000003</v>
      </c>
    </row>
    <row r="189" spans="1:74">
      <c r="A189">
        <v>184</v>
      </c>
      <c r="B189" s="1">
        <v>2</v>
      </c>
      <c r="G189" t="s">
        <v>158</v>
      </c>
      <c r="H189" s="51" t="s">
        <v>108</v>
      </c>
      <c r="I189">
        <f t="shared" si="109"/>
        <v>28.518000000000001</v>
      </c>
      <c r="J189">
        <f t="shared" si="109"/>
        <v>28.518000000000001</v>
      </c>
      <c r="K189">
        <f t="shared" si="109"/>
        <v>28.518000000000001</v>
      </c>
      <c r="L189">
        <v>2000</v>
      </c>
      <c r="M189">
        <v>1400</v>
      </c>
      <c r="N189">
        <v>0</v>
      </c>
      <c r="O189">
        <f>30*9.8</f>
        <v>294</v>
      </c>
      <c r="P189">
        <v>180</v>
      </c>
      <c r="Q189">
        <v>250</v>
      </c>
      <c r="R189" t="s">
        <v>39</v>
      </c>
      <c r="T189">
        <v>15.9</v>
      </c>
      <c r="U189">
        <v>199</v>
      </c>
      <c r="V189" s="1">
        <f>3950*9.8/100</f>
        <v>387.1</v>
      </c>
      <c r="W189" s="1">
        <f>1940*9.8/100</f>
        <v>190.12</v>
      </c>
      <c r="X189" t="s">
        <v>40</v>
      </c>
      <c r="Z189">
        <v>2</v>
      </c>
      <c r="AA189">
        <v>6.35</v>
      </c>
      <c r="AB189">
        <v>31.7</v>
      </c>
      <c r="AC189">
        <f>4300*9.8/100</f>
        <v>421.4</v>
      </c>
      <c r="AD189">
        <f>1860*9.8/100</f>
        <v>182.28</v>
      </c>
      <c r="AE189">
        <v>2</v>
      </c>
      <c r="AF189">
        <v>40</v>
      </c>
      <c r="AG189">
        <v>0</v>
      </c>
      <c r="AH189">
        <v>0</v>
      </c>
      <c r="AI189">
        <v>2</v>
      </c>
      <c r="AJ189">
        <v>40</v>
      </c>
      <c r="AK189">
        <v>0</v>
      </c>
      <c r="AL189">
        <v>0</v>
      </c>
      <c r="AN189">
        <v>250</v>
      </c>
      <c r="AO189">
        <v>250</v>
      </c>
      <c r="AP189" t="s">
        <v>39</v>
      </c>
      <c r="AR189">
        <v>15.9</v>
      </c>
      <c r="AS189">
        <v>199</v>
      </c>
      <c r="AT189">
        <f>3950*9.8/100</f>
        <v>387.1</v>
      </c>
      <c r="AU189">
        <f>1940*9.8/100</f>
        <v>190.12</v>
      </c>
      <c r="AV189" t="s">
        <v>40</v>
      </c>
      <c r="AX189">
        <v>2</v>
      </c>
      <c r="AY189">
        <v>6.35</v>
      </c>
      <c r="AZ189">
        <v>31.7</v>
      </c>
      <c r="BA189">
        <f>4300*9.8/100</f>
        <v>421.4</v>
      </c>
      <c r="BB189">
        <f>1860*9.8/100</f>
        <v>182.28</v>
      </c>
      <c r="BC189">
        <v>2</v>
      </c>
      <c r="BD189">
        <v>40</v>
      </c>
      <c r="BE189">
        <v>2</v>
      </c>
      <c r="BF189">
        <v>50</v>
      </c>
      <c r="BG189">
        <v>2</v>
      </c>
      <c r="BH189">
        <v>40</v>
      </c>
      <c r="BI189">
        <v>2</v>
      </c>
      <c r="BJ189">
        <v>50</v>
      </c>
      <c r="BM189" t="s">
        <v>381</v>
      </c>
      <c r="BN189" t="s">
        <v>40</v>
      </c>
      <c r="BQ189">
        <v>4</v>
      </c>
      <c r="BR189">
        <v>8</v>
      </c>
      <c r="BS189">
        <f>4300*9.8/100</f>
        <v>421.4</v>
      </c>
      <c r="BT189">
        <f>1860*9.8/100</f>
        <v>182.28</v>
      </c>
      <c r="BU189" s="23">
        <v>0.56000000000000005</v>
      </c>
    </row>
    <row r="190" spans="1:74">
      <c r="A190">
        <v>185</v>
      </c>
      <c r="B190" s="1">
        <v>1</v>
      </c>
      <c r="C190">
        <v>52</v>
      </c>
      <c r="D190" t="s">
        <v>75</v>
      </c>
      <c r="E190">
        <v>1997</v>
      </c>
      <c r="F190" t="s">
        <v>27</v>
      </c>
      <c r="G190" t="s">
        <v>160</v>
      </c>
      <c r="H190" s="1" t="s">
        <v>720</v>
      </c>
      <c r="I190">
        <f>365*9.8/100</f>
        <v>35.770000000000003</v>
      </c>
      <c r="J190">
        <f>365*9.8/100</f>
        <v>35.770000000000003</v>
      </c>
      <c r="K190">
        <f>365*9.8/100</f>
        <v>35.770000000000003</v>
      </c>
      <c r="L190">
        <v>3000</v>
      </c>
      <c r="M190">
        <v>1870</v>
      </c>
      <c r="N190">
        <v>0</v>
      </c>
      <c r="O190">
        <f>0.2*350*350*35.77/1000</f>
        <v>876.36500000000012</v>
      </c>
      <c r="P190">
        <v>230</v>
      </c>
      <c r="Q190">
        <v>370</v>
      </c>
      <c r="R190" t="s">
        <v>62</v>
      </c>
      <c r="S190" s="30" t="s">
        <v>76</v>
      </c>
      <c r="T190">
        <v>12.7</v>
      </c>
      <c r="U190">
        <v>127</v>
      </c>
      <c r="V190" s="1">
        <f>3740*9.8/100</f>
        <v>366.52</v>
      </c>
      <c r="W190" s="1">
        <v>179</v>
      </c>
      <c r="X190" t="s">
        <v>40</v>
      </c>
      <c r="Y190">
        <v>50</v>
      </c>
      <c r="Z190">
        <v>2</v>
      </c>
      <c r="AA190">
        <v>6.35</v>
      </c>
      <c r="AB190">
        <v>31.7</v>
      </c>
      <c r="AC190">
        <f>4600*9.8/100</f>
        <v>450.8</v>
      </c>
      <c r="AD190">
        <v>180</v>
      </c>
      <c r="AE190">
        <v>5</v>
      </c>
      <c r="AF190">
        <v>35</v>
      </c>
      <c r="AG190">
        <v>3</v>
      </c>
      <c r="AH190">
        <v>35</v>
      </c>
      <c r="AI190">
        <v>5</v>
      </c>
      <c r="AJ190">
        <v>49</v>
      </c>
      <c r="AK190">
        <v>3</v>
      </c>
      <c r="AL190">
        <v>33.5</v>
      </c>
      <c r="AN190">
        <v>350</v>
      </c>
      <c r="AO190">
        <v>350</v>
      </c>
      <c r="AP190" t="s">
        <v>62</v>
      </c>
      <c r="AQ190" s="30" t="s">
        <v>76</v>
      </c>
      <c r="AR190">
        <v>12.7</v>
      </c>
      <c r="AS190">
        <v>127</v>
      </c>
      <c r="AT190">
        <f>3740*9.8/100</f>
        <v>366.52</v>
      </c>
      <c r="AU190">
        <v>179</v>
      </c>
      <c r="AV190" t="s">
        <v>40</v>
      </c>
      <c r="AW190">
        <v>35</v>
      </c>
      <c r="AX190">
        <v>2</v>
      </c>
      <c r="AY190">
        <v>6.35</v>
      </c>
      <c r="AZ190">
        <v>31.7</v>
      </c>
      <c r="BA190">
        <f>4600*9.8/100</f>
        <v>450.8</v>
      </c>
      <c r="BB190">
        <v>180</v>
      </c>
      <c r="BC190">
        <v>4</v>
      </c>
      <c r="BD190">
        <v>50</v>
      </c>
      <c r="BE190">
        <v>2</v>
      </c>
      <c r="BF190">
        <v>67.5</v>
      </c>
      <c r="BG190">
        <v>4</v>
      </c>
      <c r="BH190">
        <v>50</v>
      </c>
      <c r="BI190">
        <v>2</v>
      </c>
      <c r="BJ190">
        <v>67.5</v>
      </c>
      <c r="BL190" s="30">
        <v>0</v>
      </c>
      <c r="BM190" t="s">
        <v>381</v>
      </c>
      <c r="BN190" t="s">
        <v>40</v>
      </c>
      <c r="BP190" s="30">
        <v>31.7</v>
      </c>
      <c r="BQ190">
        <v>3</v>
      </c>
      <c r="BR190">
        <v>6</v>
      </c>
      <c r="BS190">
        <f>4600*9.8/100</f>
        <v>450.8</v>
      </c>
      <c r="BT190">
        <v>180</v>
      </c>
      <c r="BV190" s="23" t="s">
        <v>777</v>
      </c>
    </row>
    <row r="191" spans="1:74">
      <c r="A191">
        <v>186</v>
      </c>
      <c r="B191" s="1">
        <v>2</v>
      </c>
      <c r="C191">
        <v>53</v>
      </c>
      <c r="D191" t="s">
        <v>38</v>
      </c>
      <c r="E191">
        <v>1998</v>
      </c>
      <c r="F191" t="s">
        <v>33</v>
      </c>
      <c r="G191" t="s">
        <v>158</v>
      </c>
      <c r="H191" s="51" t="s">
        <v>262</v>
      </c>
      <c r="I191">
        <v>26.9</v>
      </c>
      <c r="J191">
        <v>26.9</v>
      </c>
      <c r="K191">
        <v>26.9</v>
      </c>
      <c r="L191">
        <v>3000</v>
      </c>
      <c r="M191">
        <v>1750</v>
      </c>
      <c r="N191">
        <v>0</v>
      </c>
      <c r="O191">
        <f t="shared" ref="O191:O196" si="110">1/6*I191*300*300/1000</f>
        <v>403.49999999999994</v>
      </c>
      <c r="P191">
        <v>200</v>
      </c>
      <c r="Q191">
        <v>350</v>
      </c>
      <c r="R191" t="s">
        <v>39</v>
      </c>
      <c r="T191">
        <v>15.9</v>
      </c>
      <c r="U191">
        <v>199</v>
      </c>
      <c r="V191" s="1">
        <v>344</v>
      </c>
      <c r="W191" s="1">
        <v>172</v>
      </c>
      <c r="X191" t="s">
        <v>165</v>
      </c>
      <c r="Y191">
        <v>50</v>
      </c>
      <c r="Z191">
        <v>2</v>
      </c>
      <c r="AA191">
        <v>6</v>
      </c>
      <c r="AB191">
        <v>28.3</v>
      </c>
      <c r="AC191">
        <v>366</v>
      </c>
      <c r="AD191">
        <v>197</v>
      </c>
      <c r="AE191">
        <v>3</v>
      </c>
      <c r="AF191">
        <v>20</v>
      </c>
      <c r="AG191">
        <v>0</v>
      </c>
      <c r="AH191">
        <v>0</v>
      </c>
      <c r="AI191">
        <v>3</v>
      </c>
      <c r="AJ191">
        <v>20</v>
      </c>
      <c r="AK191">
        <v>0</v>
      </c>
      <c r="AL191">
        <v>0</v>
      </c>
      <c r="AN191">
        <v>300</v>
      </c>
      <c r="AO191">
        <v>300</v>
      </c>
      <c r="AP191" t="s">
        <v>39</v>
      </c>
      <c r="AQ191" s="30" t="s">
        <v>76</v>
      </c>
      <c r="AR191">
        <v>15.9</v>
      </c>
      <c r="AS191">
        <v>199</v>
      </c>
      <c r="AT191">
        <v>402</v>
      </c>
      <c r="AU191">
        <v>185</v>
      </c>
      <c r="AV191" t="s">
        <v>165</v>
      </c>
      <c r="AW191">
        <v>50</v>
      </c>
      <c r="AX191">
        <v>2</v>
      </c>
      <c r="AY191">
        <v>6</v>
      </c>
      <c r="AZ191">
        <v>28.3</v>
      </c>
      <c r="BA191">
        <v>366</v>
      </c>
      <c r="BB191">
        <v>197</v>
      </c>
      <c r="BC191">
        <v>5</v>
      </c>
      <c r="BD191">
        <v>20</v>
      </c>
      <c r="BE191">
        <v>0</v>
      </c>
      <c r="BF191">
        <v>0</v>
      </c>
      <c r="BG191">
        <v>5</v>
      </c>
      <c r="BH191">
        <v>20</v>
      </c>
      <c r="BI191">
        <v>0</v>
      </c>
      <c r="BJ191">
        <v>0</v>
      </c>
      <c r="BL191" s="30">
        <v>2</v>
      </c>
      <c r="BM191" t="s">
        <v>166</v>
      </c>
      <c r="BQ191">
        <v>6</v>
      </c>
      <c r="BR191">
        <v>12</v>
      </c>
      <c r="BS191">
        <v>366</v>
      </c>
      <c r="BT191">
        <v>197</v>
      </c>
      <c r="BV191" s="23" t="s">
        <v>777</v>
      </c>
    </row>
    <row r="192" spans="1:74">
      <c r="A192">
        <v>187</v>
      </c>
      <c r="B192" s="1">
        <v>2</v>
      </c>
      <c r="G192" t="s">
        <v>160</v>
      </c>
      <c r="H192" s="51" t="s">
        <v>263</v>
      </c>
      <c r="I192">
        <v>26.4</v>
      </c>
      <c r="J192">
        <v>26.4</v>
      </c>
      <c r="K192">
        <v>26.4</v>
      </c>
      <c r="L192">
        <v>3000</v>
      </c>
      <c r="M192">
        <v>1750</v>
      </c>
      <c r="N192">
        <v>0</v>
      </c>
      <c r="O192">
        <f t="shared" si="110"/>
        <v>395.99999999999994</v>
      </c>
      <c r="P192">
        <v>200</v>
      </c>
      <c r="Q192">
        <v>350</v>
      </c>
      <c r="R192" t="s">
        <v>62</v>
      </c>
      <c r="T192">
        <v>12.7</v>
      </c>
      <c r="U192">
        <v>127</v>
      </c>
      <c r="V192" s="1">
        <v>363</v>
      </c>
      <c r="W192" s="1">
        <v>198</v>
      </c>
      <c r="X192" t="s">
        <v>165</v>
      </c>
      <c r="Y192">
        <v>50</v>
      </c>
      <c r="Z192">
        <v>2</v>
      </c>
      <c r="AA192">
        <v>6</v>
      </c>
      <c r="AB192">
        <v>28.3</v>
      </c>
      <c r="AC192">
        <v>366</v>
      </c>
      <c r="AD192">
        <v>197</v>
      </c>
      <c r="AE192">
        <v>5</v>
      </c>
      <c r="AF192">
        <v>20</v>
      </c>
      <c r="AG192">
        <v>0</v>
      </c>
      <c r="AH192">
        <v>0</v>
      </c>
      <c r="AI192">
        <v>5</v>
      </c>
      <c r="AJ192">
        <v>20</v>
      </c>
      <c r="AK192">
        <v>0</v>
      </c>
      <c r="AL192">
        <v>0</v>
      </c>
      <c r="AN192">
        <v>300</v>
      </c>
      <c r="AO192">
        <v>300</v>
      </c>
      <c r="AP192" t="s">
        <v>39</v>
      </c>
      <c r="AQ192" s="30" t="s">
        <v>76</v>
      </c>
      <c r="AR192">
        <v>15.9</v>
      </c>
      <c r="AS192">
        <v>199</v>
      </c>
      <c r="AT192">
        <v>402</v>
      </c>
      <c r="AU192">
        <v>185</v>
      </c>
      <c r="AV192" t="s">
        <v>165</v>
      </c>
      <c r="AW192">
        <v>50</v>
      </c>
      <c r="AX192">
        <v>2</v>
      </c>
      <c r="AY192">
        <v>6</v>
      </c>
      <c r="AZ192">
        <v>28.3</v>
      </c>
      <c r="BA192">
        <v>366</v>
      </c>
      <c r="BB192">
        <v>197</v>
      </c>
      <c r="BC192">
        <v>5</v>
      </c>
      <c r="BD192">
        <v>20</v>
      </c>
      <c r="BE192">
        <v>0</v>
      </c>
      <c r="BF192">
        <v>0</v>
      </c>
      <c r="BG192">
        <v>5</v>
      </c>
      <c r="BH192">
        <v>20</v>
      </c>
      <c r="BI192">
        <v>0</v>
      </c>
      <c r="BJ192">
        <v>0</v>
      </c>
      <c r="BL192" s="30">
        <v>2</v>
      </c>
      <c r="BM192" t="s">
        <v>166</v>
      </c>
      <c r="BQ192">
        <v>6</v>
      </c>
      <c r="BR192">
        <v>12</v>
      </c>
      <c r="BS192">
        <v>366</v>
      </c>
      <c r="BT192">
        <v>197</v>
      </c>
      <c r="BV192" s="23" t="s">
        <v>777</v>
      </c>
    </row>
    <row r="193" spans="1:74">
      <c r="A193">
        <v>188</v>
      </c>
      <c r="B193" s="1">
        <v>2</v>
      </c>
      <c r="G193" t="s">
        <v>158</v>
      </c>
      <c r="H193" s="51" t="s">
        <v>264</v>
      </c>
      <c r="I193">
        <v>30.4</v>
      </c>
      <c r="J193">
        <v>30.4</v>
      </c>
      <c r="K193">
        <v>30.4</v>
      </c>
      <c r="L193">
        <v>3000</v>
      </c>
      <c r="M193">
        <v>1750</v>
      </c>
      <c r="N193">
        <v>0</v>
      </c>
      <c r="O193">
        <f t="shared" si="110"/>
        <v>456</v>
      </c>
      <c r="P193">
        <v>200</v>
      </c>
      <c r="Q193">
        <v>350</v>
      </c>
      <c r="R193" t="s">
        <v>153</v>
      </c>
      <c r="T193">
        <v>9.5299999999999994</v>
      </c>
      <c r="U193">
        <v>71.3</v>
      </c>
      <c r="V193" s="1">
        <v>372</v>
      </c>
      <c r="W193" s="1">
        <v>195</v>
      </c>
      <c r="X193" t="s">
        <v>165</v>
      </c>
      <c r="Y193">
        <v>50</v>
      </c>
      <c r="Z193">
        <v>2</v>
      </c>
      <c r="AA193">
        <v>6</v>
      </c>
      <c r="AB193">
        <v>28.3</v>
      </c>
      <c r="AC193">
        <v>366</v>
      </c>
      <c r="AD193">
        <v>197</v>
      </c>
      <c r="AE193">
        <v>4</v>
      </c>
      <c r="AF193">
        <v>20</v>
      </c>
      <c r="AG193">
        <v>4</v>
      </c>
      <c r="AH193">
        <v>30</v>
      </c>
      <c r="AI193">
        <v>4</v>
      </c>
      <c r="AJ193">
        <v>20</v>
      </c>
      <c r="AK193">
        <v>4</v>
      </c>
      <c r="AL193">
        <v>30</v>
      </c>
      <c r="AN193">
        <v>300</v>
      </c>
      <c r="AO193">
        <v>300</v>
      </c>
      <c r="AP193" t="s">
        <v>39</v>
      </c>
      <c r="AQ193" s="30" t="s">
        <v>76</v>
      </c>
      <c r="AR193">
        <v>15.9</v>
      </c>
      <c r="AS193">
        <v>199</v>
      </c>
      <c r="AT193">
        <v>402</v>
      </c>
      <c r="AU193">
        <v>185</v>
      </c>
      <c r="AV193" t="s">
        <v>165</v>
      </c>
      <c r="AW193">
        <v>50</v>
      </c>
      <c r="AX193">
        <v>2</v>
      </c>
      <c r="AY193">
        <v>6</v>
      </c>
      <c r="AZ193">
        <v>28.3</v>
      </c>
      <c r="BA193">
        <v>366</v>
      </c>
      <c r="BB193">
        <v>197</v>
      </c>
      <c r="BC193">
        <v>5</v>
      </c>
      <c r="BD193">
        <v>20</v>
      </c>
      <c r="BE193">
        <v>0</v>
      </c>
      <c r="BF193">
        <v>0</v>
      </c>
      <c r="BG193">
        <v>5</v>
      </c>
      <c r="BH193">
        <v>20</v>
      </c>
      <c r="BI193">
        <v>0</v>
      </c>
      <c r="BJ193">
        <v>0</v>
      </c>
      <c r="BL193" s="30">
        <v>2</v>
      </c>
      <c r="BM193" t="s">
        <v>166</v>
      </c>
      <c r="BQ193">
        <v>6</v>
      </c>
      <c r="BR193">
        <v>12</v>
      </c>
      <c r="BS193">
        <v>366</v>
      </c>
      <c r="BT193">
        <v>197</v>
      </c>
      <c r="BV193" s="23" t="s">
        <v>777</v>
      </c>
    </row>
    <row r="194" spans="1:74">
      <c r="A194">
        <v>189</v>
      </c>
      <c r="B194" s="1">
        <v>2</v>
      </c>
      <c r="G194" t="s">
        <v>160</v>
      </c>
      <c r="H194" s="51" t="s">
        <v>265</v>
      </c>
      <c r="I194">
        <v>23.6</v>
      </c>
      <c r="J194">
        <v>23.6</v>
      </c>
      <c r="K194">
        <v>23.6</v>
      </c>
      <c r="L194">
        <v>3000</v>
      </c>
      <c r="M194">
        <v>1750</v>
      </c>
      <c r="N194">
        <v>0</v>
      </c>
      <c r="O194">
        <f t="shared" si="110"/>
        <v>354</v>
      </c>
      <c r="P194">
        <v>200</v>
      </c>
      <c r="Q194">
        <v>350</v>
      </c>
      <c r="R194" t="s">
        <v>39</v>
      </c>
      <c r="T194">
        <v>15.9</v>
      </c>
      <c r="U194">
        <v>199</v>
      </c>
      <c r="V194" s="1">
        <v>344</v>
      </c>
      <c r="W194" s="1">
        <v>172</v>
      </c>
      <c r="X194" t="s">
        <v>165</v>
      </c>
      <c r="Y194">
        <v>40</v>
      </c>
      <c r="Z194">
        <v>2</v>
      </c>
      <c r="AA194">
        <v>6</v>
      </c>
      <c r="AB194">
        <v>28.3</v>
      </c>
      <c r="AC194">
        <v>366</v>
      </c>
      <c r="AD194">
        <v>197</v>
      </c>
      <c r="AE194">
        <v>4</v>
      </c>
      <c r="AF194">
        <v>20</v>
      </c>
      <c r="AG194">
        <v>0</v>
      </c>
      <c r="AH194">
        <v>0</v>
      </c>
      <c r="AI194">
        <v>4</v>
      </c>
      <c r="AJ194">
        <v>20</v>
      </c>
      <c r="AK194">
        <v>0</v>
      </c>
      <c r="AL194">
        <v>0</v>
      </c>
      <c r="AN194">
        <v>300</v>
      </c>
      <c r="AO194">
        <v>300</v>
      </c>
      <c r="AP194" t="s">
        <v>39</v>
      </c>
      <c r="AQ194" s="30" t="s">
        <v>76</v>
      </c>
      <c r="AR194">
        <v>15.9</v>
      </c>
      <c r="AS194">
        <v>199</v>
      </c>
      <c r="AT194">
        <v>402</v>
      </c>
      <c r="AU194">
        <v>185</v>
      </c>
      <c r="AV194" t="s">
        <v>165</v>
      </c>
      <c r="AW194">
        <v>40</v>
      </c>
      <c r="AX194">
        <v>2</v>
      </c>
      <c r="AY194">
        <v>6</v>
      </c>
      <c r="AZ194">
        <v>28.3</v>
      </c>
      <c r="BA194">
        <v>366</v>
      </c>
      <c r="BB194">
        <v>197</v>
      </c>
      <c r="BC194">
        <v>5</v>
      </c>
      <c r="BD194">
        <v>20</v>
      </c>
      <c r="BE194">
        <v>0</v>
      </c>
      <c r="BF194">
        <v>0</v>
      </c>
      <c r="BG194">
        <v>5</v>
      </c>
      <c r="BH194">
        <v>20</v>
      </c>
      <c r="BI194">
        <v>0</v>
      </c>
      <c r="BJ194">
        <v>0</v>
      </c>
      <c r="BL194" s="30">
        <v>2</v>
      </c>
      <c r="BM194" t="s">
        <v>166</v>
      </c>
      <c r="BQ194">
        <v>8</v>
      </c>
      <c r="BR194">
        <v>16</v>
      </c>
      <c r="BS194">
        <v>366</v>
      </c>
      <c r="BT194">
        <v>197</v>
      </c>
      <c r="BV194" s="23" t="s">
        <v>777</v>
      </c>
    </row>
    <row r="195" spans="1:74">
      <c r="A195">
        <v>190</v>
      </c>
      <c r="B195" s="1">
        <v>2</v>
      </c>
      <c r="G195" t="s">
        <v>160</v>
      </c>
      <c r="H195" s="51" t="s">
        <v>266</v>
      </c>
      <c r="I195">
        <v>26.3</v>
      </c>
      <c r="J195">
        <v>26.3</v>
      </c>
      <c r="K195">
        <v>26.3</v>
      </c>
      <c r="L195">
        <v>3000</v>
      </c>
      <c r="M195">
        <v>1750</v>
      </c>
      <c r="N195">
        <v>0</v>
      </c>
      <c r="O195">
        <f t="shared" si="110"/>
        <v>394.49999999999994</v>
      </c>
      <c r="P195">
        <v>200</v>
      </c>
      <c r="Q195">
        <v>350</v>
      </c>
      <c r="R195" t="s">
        <v>62</v>
      </c>
      <c r="T195">
        <v>12.7</v>
      </c>
      <c r="U195">
        <v>127</v>
      </c>
      <c r="V195" s="1">
        <v>363</v>
      </c>
      <c r="W195" s="1">
        <v>198</v>
      </c>
      <c r="X195" t="s">
        <v>165</v>
      </c>
      <c r="Y195">
        <v>40</v>
      </c>
      <c r="Z195">
        <v>2</v>
      </c>
      <c r="AA195">
        <v>6</v>
      </c>
      <c r="AB195">
        <v>28.3</v>
      </c>
      <c r="AC195">
        <v>366</v>
      </c>
      <c r="AD195">
        <v>197</v>
      </c>
      <c r="AE195">
        <v>5</v>
      </c>
      <c r="AF195">
        <v>20</v>
      </c>
      <c r="AG195">
        <v>2</v>
      </c>
      <c r="AH195">
        <v>30</v>
      </c>
      <c r="AI195">
        <v>5</v>
      </c>
      <c r="AJ195">
        <v>20</v>
      </c>
      <c r="AK195">
        <v>2</v>
      </c>
      <c r="AL195">
        <v>30</v>
      </c>
      <c r="AN195">
        <v>300</v>
      </c>
      <c r="AO195">
        <v>300</v>
      </c>
      <c r="AP195" t="s">
        <v>39</v>
      </c>
      <c r="AQ195" s="30" t="s">
        <v>76</v>
      </c>
      <c r="AR195">
        <v>15.9</v>
      </c>
      <c r="AS195">
        <v>199</v>
      </c>
      <c r="AT195">
        <v>402</v>
      </c>
      <c r="AU195">
        <v>185</v>
      </c>
      <c r="AV195" t="s">
        <v>165</v>
      </c>
      <c r="AW195">
        <v>40</v>
      </c>
      <c r="AX195">
        <v>2</v>
      </c>
      <c r="AY195">
        <v>6</v>
      </c>
      <c r="AZ195">
        <v>28.3</v>
      </c>
      <c r="BA195">
        <v>366</v>
      </c>
      <c r="BB195">
        <v>197</v>
      </c>
      <c r="BC195">
        <v>5</v>
      </c>
      <c r="BD195">
        <v>20</v>
      </c>
      <c r="BE195">
        <v>0</v>
      </c>
      <c r="BF195">
        <v>0</v>
      </c>
      <c r="BG195">
        <v>5</v>
      </c>
      <c r="BH195">
        <v>20</v>
      </c>
      <c r="BI195">
        <v>0</v>
      </c>
      <c r="BJ195">
        <v>0</v>
      </c>
      <c r="BL195" s="30">
        <v>2</v>
      </c>
      <c r="BM195" t="s">
        <v>166</v>
      </c>
      <c r="BQ195">
        <v>8</v>
      </c>
      <c r="BR195">
        <v>16</v>
      </c>
      <c r="BS195">
        <v>366</v>
      </c>
      <c r="BT195">
        <v>197</v>
      </c>
      <c r="BV195" s="23" t="s">
        <v>777</v>
      </c>
    </row>
    <row r="196" spans="1:74">
      <c r="A196">
        <v>191</v>
      </c>
      <c r="B196" s="1">
        <v>2</v>
      </c>
      <c r="G196" t="s">
        <v>160</v>
      </c>
      <c r="H196" s="51" t="s">
        <v>267</v>
      </c>
      <c r="I196">
        <v>25.6</v>
      </c>
      <c r="J196">
        <v>25.6</v>
      </c>
      <c r="K196">
        <v>25.6</v>
      </c>
      <c r="L196">
        <v>3000</v>
      </c>
      <c r="M196">
        <v>1750</v>
      </c>
      <c r="N196">
        <v>0</v>
      </c>
      <c r="O196">
        <f t="shared" si="110"/>
        <v>384</v>
      </c>
      <c r="P196">
        <v>200</v>
      </c>
      <c r="Q196">
        <v>350</v>
      </c>
      <c r="R196" t="s">
        <v>153</v>
      </c>
      <c r="T196">
        <v>9.5299999999999994</v>
      </c>
      <c r="U196">
        <v>71.3</v>
      </c>
      <c r="V196" s="1">
        <v>372</v>
      </c>
      <c r="W196" s="1">
        <v>195</v>
      </c>
      <c r="X196" t="s">
        <v>165</v>
      </c>
      <c r="Y196">
        <v>40</v>
      </c>
      <c r="Z196">
        <v>2</v>
      </c>
      <c r="AA196">
        <v>6</v>
      </c>
      <c r="AB196">
        <v>28.3</v>
      </c>
      <c r="AC196">
        <v>366</v>
      </c>
      <c r="AD196">
        <v>197</v>
      </c>
      <c r="AE196">
        <v>5</v>
      </c>
      <c r="AF196">
        <v>20</v>
      </c>
      <c r="AG196">
        <v>5</v>
      </c>
      <c r="AH196">
        <v>30</v>
      </c>
      <c r="AI196">
        <v>5</v>
      </c>
      <c r="AJ196">
        <v>20</v>
      </c>
      <c r="AK196">
        <v>5</v>
      </c>
      <c r="AL196">
        <v>30</v>
      </c>
      <c r="AN196">
        <v>300</v>
      </c>
      <c r="AO196">
        <v>300</v>
      </c>
      <c r="AP196" t="s">
        <v>39</v>
      </c>
      <c r="AQ196" s="30" t="s">
        <v>76</v>
      </c>
      <c r="AR196">
        <v>15.9</v>
      </c>
      <c r="AS196">
        <v>199</v>
      </c>
      <c r="AT196">
        <v>402</v>
      </c>
      <c r="AU196">
        <v>185</v>
      </c>
      <c r="AV196" t="s">
        <v>165</v>
      </c>
      <c r="AW196">
        <v>40</v>
      </c>
      <c r="AX196">
        <v>2</v>
      </c>
      <c r="AY196">
        <v>6</v>
      </c>
      <c r="AZ196">
        <v>28.3</v>
      </c>
      <c r="BA196">
        <v>366</v>
      </c>
      <c r="BB196">
        <v>197</v>
      </c>
      <c r="BC196">
        <v>5</v>
      </c>
      <c r="BD196">
        <v>20</v>
      </c>
      <c r="BE196">
        <v>0</v>
      </c>
      <c r="BF196">
        <v>0</v>
      </c>
      <c r="BG196">
        <v>5</v>
      </c>
      <c r="BH196">
        <v>20</v>
      </c>
      <c r="BI196">
        <v>0</v>
      </c>
      <c r="BJ196">
        <v>0</v>
      </c>
      <c r="BL196" s="30">
        <v>2</v>
      </c>
      <c r="BM196" t="s">
        <v>166</v>
      </c>
      <c r="BQ196">
        <v>8</v>
      </c>
      <c r="BR196">
        <v>16</v>
      </c>
      <c r="BS196">
        <v>366</v>
      </c>
      <c r="BT196">
        <v>197</v>
      </c>
      <c r="BV196" s="23" t="s">
        <v>777</v>
      </c>
    </row>
    <row r="197" spans="1:74">
      <c r="A197">
        <v>192</v>
      </c>
      <c r="B197" s="1">
        <v>1</v>
      </c>
      <c r="C197">
        <v>54</v>
      </c>
      <c r="D197" t="s">
        <v>77</v>
      </c>
      <c r="E197">
        <v>1998</v>
      </c>
      <c r="F197" t="s">
        <v>33</v>
      </c>
      <c r="G197" t="s">
        <v>160</v>
      </c>
      <c r="H197" s="1" t="s">
        <v>723</v>
      </c>
      <c r="I197">
        <v>24.5</v>
      </c>
      <c r="J197">
        <v>24.5</v>
      </c>
      <c r="K197">
        <v>24.5</v>
      </c>
      <c r="L197">
        <v>3750</v>
      </c>
      <c r="M197">
        <v>1800</v>
      </c>
      <c r="N197">
        <v>0</v>
      </c>
      <c r="O197">
        <f>3.92*AN197/1000*AO197/1000*1000</f>
        <v>480.20000000000005</v>
      </c>
      <c r="P197">
        <v>300</v>
      </c>
      <c r="Q197">
        <v>400</v>
      </c>
      <c r="R197" t="s">
        <v>39</v>
      </c>
      <c r="S197" s="30" t="s">
        <v>268</v>
      </c>
      <c r="T197">
        <v>15.9</v>
      </c>
      <c r="U197">
        <v>199</v>
      </c>
      <c r="V197" s="1">
        <v>336</v>
      </c>
      <c r="W197" s="1">
        <v>184</v>
      </c>
      <c r="X197" t="s">
        <v>153</v>
      </c>
      <c r="Y197">
        <v>100</v>
      </c>
      <c r="Z197">
        <v>2</v>
      </c>
      <c r="AA197">
        <v>9.5299999999999994</v>
      </c>
      <c r="AB197">
        <v>71.3</v>
      </c>
      <c r="AC197">
        <v>363</v>
      </c>
      <c r="AD197">
        <v>195</v>
      </c>
      <c r="AE197">
        <v>5</v>
      </c>
      <c r="AF197">
        <v>40</v>
      </c>
      <c r="AG197">
        <v>0</v>
      </c>
      <c r="AH197">
        <v>0</v>
      </c>
      <c r="AI197">
        <v>5</v>
      </c>
      <c r="AJ197">
        <v>40</v>
      </c>
      <c r="AK197">
        <v>0</v>
      </c>
      <c r="AL197">
        <v>0</v>
      </c>
      <c r="AN197">
        <v>350</v>
      </c>
      <c r="AO197">
        <v>350</v>
      </c>
      <c r="AP197" t="s">
        <v>57</v>
      </c>
      <c r="AQ197" s="30" t="s">
        <v>76</v>
      </c>
      <c r="AR197">
        <v>19.100000000000001</v>
      </c>
      <c r="AS197">
        <v>287</v>
      </c>
      <c r="AT197">
        <v>384</v>
      </c>
      <c r="AU197">
        <v>202</v>
      </c>
      <c r="AV197" t="s">
        <v>153</v>
      </c>
      <c r="AW197">
        <v>100</v>
      </c>
      <c r="AX197">
        <v>2</v>
      </c>
      <c r="AY197">
        <v>9.5299999999999994</v>
      </c>
      <c r="AZ197">
        <v>71.3</v>
      </c>
      <c r="BA197">
        <v>363</v>
      </c>
      <c r="BB197">
        <v>195</v>
      </c>
      <c r="BC197">
        <v>4</v>
      </c>
      <c r="BD197">
        <v>45</v>
      </c>
      <c r="BE197">
        <v>0</v>
      </c>
      <c r="BF197">
        <v>0</v>
      </c>
      <c r="BG197">
        <v>4</v>
      </c>
      <c r="BH197">
        <v>45</v>
      </c>
      <c r="BI197">
        <v>0</v>
      </c>
      <c r="BJ197">
        <v>0</v>
      </c>
      <c r="BL197" s="30">
        <v>0</v>
      </c>
      <c r="BM197" t="s">
        <v>379</v>
      </c>
      <c r="BN197" t="s">
        <v>153</v>
      </c>
      <c r="BP197" s="30">
        <v>71.3</v>
      </c>
      <c r="BQ197">
        <v>3</v>
      </c>
      <c r="BR197">
        <v>12</v>
      </c>
      <c r="BS197">
        <v>363</v>
      </c>
      <c r="BT197">
        <v>195</v>
      </c>
      <c r="BV197" s="23" t="s">
        <v>777</v>
      </c>
    </row>
    <row r="198" spans="1:74">
      <c r="A198">
        <v>193</v>
      </c>
      <c r="B198" s="1">
        <v>1</v>
      </c>
      <c r="G198" t="s">
        <v>160</v>
      </c>
      <c r="H198" s="1" t="s">
        <v>724</v>
      </c>
      <c r="I198">
        <v>33.299999999999997</v>
      </c>
      <c r="J198">
        <v>33.299999999999997</v>
      </c>
      <c r="K198">
        <v>33.299999999999997</v>
      </c>
      <c r="L198">
        <v>3750</v>
      </c>
      <c r="M198">
        <v>1800</v>
      </c>
      <c r="N198">
        <v>0</v>
      </c>
      <c r="O198">
        <f>3.92*AN198/1000*AO198/1000*1000</f>
        <v>480.20000000000005</v>
      </c>
      <c r="P198">
        <v>300</v>
      </c>
      <c r="Q198">
        <v>400</v>
      </c>
      <c r="R198" t="s">
        <v>39</v>
      </c>
      <c r="S198" s="30" t="s">
        <v>76</v>
      </c>
      <c r="T198">
        <v>15.9</v>
      </c>
      <c r="U198">
        <v>199</v>
      </c>
      <c r="V198" s="1">
        <v>376</v>
      </c>
      <c r="W198" s="1">
        <v>196</v>
      </c>
      <c r="X198" t="s">
        <v>153</v>
      </c>
      <c r="Y198">
        <v>100</v>
      </c>
      <c r="Z198">
        <v>2</v>
      </c>
      <c r="AA198">
        <v>9.5299999999999994</v>
      </c>
      <c r="AB198">
        <v>71.3</v>
      </c>
      <c r="AC198">
        <v>376</v>
      </c>
      <c r="AD198">
        <v>189</v>
      </c>
      <c r="AE198">
        <v>5</v>
      </c>
      <c r="AF198">
        <v>40</v>
      </c>
      <c r="AG198">
        <v>0</v>
      </c>
      <c r="AH198">
        <v>0</v>
      </c>
      <c r="AI198">
        <v>5</v>
      </c>
      <c r="AJ198">
        <v>40</v>
      </c>
      <c r="AK198">
        <v>0</v>
      </c>
      <c r="AL198">
        <v>0</v>
      </c>
      <c r="AN198">
        <v>350</v>
      </c>
      <c r="AO198">
        <v>350</v>
      </c>
      <c r="AP198" t="s">
        <v>57</v>
      </c>
      <c r="AQ198" s="30" t="s">
        <v>76</v>
      </c>
      <c r="AR198">
        <v>19.100000000000001</v>
      </c>
      <c r="AS198">
        <v>287</v>
      </c>
      <c r="AT198">
        <v>389</v>
      </c>
      <c r="AU198">
        <v>203</v>
      </c>
      <c r="AV198" t="s">
        <v>153</v>
      </c>
      <c r="AW198">
        <v>100</v>
      </c>
      <c r="AX198">
        <v>2</v>
      </c>
      <c r="AY198">
        <v>9.5299999999999994</v>
      </c>
      <c r="AZ198">
        <v>71.3</v>
      </c>
      <c r="BA198">
        <v>376</v>
      </c>
      <c r="BB198">
        <v>189</v>
      </c>
      <c r="BC198">
        <v>4</v>
      </c>
      <c r="BD198">
        <v>45</v>
      </c>
      <c r="BE198">
        <v>0</v>
      </c>
      <c r="BF198">
        <v>0</v>
      </c>
      <c r="BG198">
        <v>4</v>
      </c>
      <c r="BH198">
        <v>45</v>
      </c>
      <c r="BI198">
        <v>0</v>
      </c>
      <c r="BJ198">
        <v>0</v>
      </c>
      <c r="BL198" s="30">
        <v>0</v>
      </c>
      <c r="BM198" t="s">
        <v>379</v>
      </c>
      <c r="BN198" t="s">
        <v>153</v>
      </c>
      <c r="BP198" s="30">
        <v>71.3</v>
      </c>
      <c r="BQ198">
        <v>3</v>
      </c>
      <c r="BR198">
        <v>12</v>
      </c>
      <c r="BS198">
        <v>376</v>
      </c>
      <c r="BT198">
        <v>189</v>
      </c>
      <c r="BV198" s="23" t="s">
        <v>777</v>
      </c>
    </row>
    <row r="199" spans="1:74">
      <c r="A199">
        <v>194</v>
      </c>
      <c r="B199" s="1">
        <v>1</v>
      </c>
      <c r="G199" t="s">
        <v>160</v>
      </c>
      <c r="H199" s="1" t="s">
        <v>269</v>
      </c>
      <c r="I199">
        <v>25</v>
      </c>
      <c r="J199">
        <v>25</v>
      </c>
      <c r="K199">
        <v>25</v>
      </c>
      <c r="L199">
        <v>3750</v>
      </c>
      <c r="M199">
        <v>1800</v>
      </c>
      <c r="N199">
        <v>0</v>
      </c>
      <c r="O199">
        <f>3.92*AN199/1000*AO199/1000*1000</f>
        <v>480.20000000000005</v>
      </c>
      <c r="P199">
        <v>300</v>
      </c>
      <c r="Q199">
        <v>400</v>
      </c>
      <c r="R199" t="s">
        <v>62</v>
      </c>
      <c r="S199" s="30" t="s">
        <v>76</v>
      </c>
      <c r="T199">
        <v>12.7</v>
      </c>
      <c r="U199">
        <v>127</v>
      </c>
      <c r="V199" s="1">
        <v>388</v>
      </c>
      <c r="W199" s="1">
        <v>189</v>
      </c>
      <c r="X199" t="s">
        <v>153</v>
      </c>
      <c r="Y199">
        <v>100</v>
      </c>
      <c r="Z199">
        <v>2</v>
      </c>
      <c r="AA199">
        <v>9.5299999999999994</v>
      </c>
      <c r="AB199">
        <v>71.3</v>
      </c>
      <c r="AC199">
        <v>376</v>
      </c>
      <c r="AD199">
        <v>189</v>
      </c>
      <c r="AE199">
        <v>5</v>
      </c>
      <c r="AF199">
        <v>40</v>
      </c>
      <c r="AG199">
        <v>0</v>
      </c>
      <c r="AH199">
        <v>0</v>
      </c>
      <c r="AI199">
        <v>5</v>
      </c>
      <c r="AJ199">
        <v>40</v>
      </c>
      <c r="AK199">
        <v>0</v>
      </c>
      <c r="AL199">
        <v>0</v>
      </c>
      <c r="AN199">
        <v>350</v>
      </c>
      <c r="AO199">
        <v>350</v>
      </c>
      <c r="AP199" t="s">
        <v>39</v>
      </c>
      <c r="AQ199" s="30" t="s">
        <v>76</v>
      </c>
      <c r="AR199">
        <v>15.9</v>
      </c>
      <c r="AS199">
        <v>199</v>
      </c>
      <c r="AT199">
        <v>376</v>
      </c>
      <c r="AU199">
        <v>196</v>
      </c>
      <c r="AV199" t="s">
        <v>153</v>
      </c>
      <c r="AW199">
        <v>100</v>
      </c>
      <c r="AX199">
        <v>2</v>
      </c>
      <c r="AY199">
        <v>9.5299999999999994</v>
      </c>
      <c r="AZ199">
        <v>71.3</v>
      </c>
      <c r="BA199">
        <v>376</v>
      </c>
      <c r="BB199">
        <v>189</v>
      </c>
      <c r="BC199">
        <v>4</v>
      </c>
      <c r="BD199">
        <v>46</v>
      </c>
      <c r="BE199">
        <v>2</v>
      </c>
      <c r="BF199">
        <v>43</v>
      </c>
      <c r="BG199">
        <v>4</v>
      </c>
      <c r="BH199">
        <v>46</v>
      </c>
      <c r="BI199">
        <v>2</v>
      </c>
      <c r="BJ199">
        <v>43</v>
      </c>
      <c r="BL199" s="30">
        <v>0</v>
      </c>
      <c r="BM199" t="s">
        <v>379</v>
      </c>
      <c r="BN199" t="s">
        <v>153</v>
      </c>
      <c r="BP199" s="30">
        <v>71.3</v>
      </c>
      <c r="BQ199">
        <v>3</v>
      </c>
      <c r="BR199">
        <v>12</v>
      </c>
      <c r="BS199">
        <v>376</v>
      </c>
      <c r="BT199">
        <v>189</v>
      </c>
      <c r="BV199" s="23" t="s">
        <v>777</v>
      </c>
    </row>
    <row r="200" spans="1:74">
      <c r="A200">
        <v>195</v>
      </c>
      <c r="B200" s="1">
        <v>1</v>
      </c>
      <c r="C200">
        <v>55</v>
      </c>
      <c r="D200" t="s">
        <v>78</v>
      </c>
      <c r="E200">
        <v>1999</v>
      </c>
      <c r="F200" t="s">
        <v>33</v>
      </c>
      <c r="G200" t="s">
        <v>84</v>
      </c>
      <c r="H200" s="1" t="s">
        <v>270</v>
      </c>
      <c r="I200">
        <v>22.1</v>
      </c>
      <c r="J200">
        <v>22.1</v>
      </c>
      <c r="K200">
        <v>22.1</v>
      </c>
      <c r="L200">
        <v>2800</v>
      </c>
      <c r="M200">
        <v>2330</v>
      </c>
      <c r="N200">
        <v>0</v>
      </c>
      <c r="O200" s="11">
        <v>883</v>
      </c>
      <c r="P200">
        <v>250</v>
      </c>
      <c r="Q200">
        <v>350</v>
      </c>
      <c r="R200" t="s">
        <v>213</v>
      </c>
      <c r="T200">
        <v>25.4</v>
      </c>
      <c r="U200">
        <v>507</v>
      </c>
      <c r="V200" s="1">
        <v>511</v>
      </c>
      <c r="W200" s="1">
        <v>194</v>
      </c>
      <c r="X200" t="s">
        <v>153</v>
      </c>
      <c r="Y200">
        <v>60</v>
      </c>
      <c r="Z200">
        <v>4</v>
      </c>
      <c r="AA200">
        <v>9.5299999999999994</v>
      </c>
      <c r="AB200">
        <v>71.3</v>
      </c>
      <c r="AC200">
        <v>377</v>
      </c>
      <c r="AD200">
        <v>181</v>
      </c>
      <c r="AE200">
        <v>4</v>
      </c>
      <c r="AF200">
        <v>40</v>
      </c>
      <c r="AG200">
        <v>0</v>
      </c>
      <c r="AH200">
        <v>0</v>
      </c>
      <c r="AI200">
        <v>4</v>
      </c>
      <c r="AJ200">
        <v>40</v>
      </c>
      <c r="AK200">
        <v>0</v>
      </c>
      <c r="AL200">
        <v>0</v>
      </c>
      <c r="AN200">
        <v>350</v>
      </c>
      <c r="AO200">
        <v>350</v>
      </c>
      <c r="AP200" t="s">
        <v>162</v>
      </c>
      <c r="AR200">
        <v>22.2</v>
      </c>
      <c r="AS200">
        <v>387</v>
      </c>
      <c r="AT200">
        <v>548</v>
      </c>
      <c r="AU200">
        <v>196</v>
      </c>
      <c r="AV200" t="s">
        <v>153</v>
      </c>
      <c r="AW200">
        <v>60</v>
      </c>
      <c r="AX200">
        <v>4</v>
      </c>
      <c r="AY200">
        <v>9.5299999999999994</v>
      </c>
      <c r="AZ200">
        <v>71.3</v>
      </c>
      <c r="BA200">
        <v>377</v>
      </c>
      <c r="BB200">
        <v>181</v>
      </c>
      <c r="BC200">
        <v>5</v>
      </c>
      <c r="BD200">
        <v>40</v>
      </c>
      <c r="BE200">
        <v>2</v>
      </c>
      <c r="BF200">
        <v>70</v>
      </c>
      <c r="BG200">
        <v>5</v>
      </c>
      <c r="BH200">
        <v>40</v>
      </c>
      <c r="BI200">
        <v>2</v>
      </c>
      <c r="BJ200">
        <v>70</v>
      </c>
      <c r="BL200" s="30">
        <v>2</v>
      </c>
      <c r="BM200" t="s">
        <v>166</v>
      </c>
      <c r="BN200" t="s">
        <v>153</v>
      </c>
      <c r="BP200" s="30">
        <v>71.3</v>
      </c>
      <c r="BQ200">
        <v>3</v>
      </c>
      <c r="BR200">
        <v>6</v>
      </c>
      <c r="BS200">
        <v>377</v>
      </c>
      <c r="BT200">
        <v>181</v>
      </c>
      <c r="BU200" s="23">
        <v>0.45</v>
      </c>
    </row>
    <row r="201" spans="1:74">
      <c r="A201">
        <v>196</v>
      </c>
      <c r="B201" s="1">
        <v>1</v>
      </c>
      <c r="G201" t="s">
        <v>84</v>
      </c>
      <c r="H201" s="1" t="s">
        <v>271</v>
      </c>
      <c r="I201">
        <v>22</v>
      </c>
      <c r="J201">
        <v>22</v>
      </c>
      <c r="K201">
        <v>22</v>
      </c>
      <c r="L201">
        <v>2800</v>
      </c>
      <c r="M201">
        <v>2330</v>
      </c>
      <c r="N201">
        <v>0</v>
      </c>
      <c r="O201" s="11">
        <v>-883</v>
      </c>
      <c r="P201">
        <v>250</v>
      </c>
      <c r="Q201">
        <v>350</v>
      </c>
      <c r="R201" t="s">
        <v>213</v>
      </c>
      <c r="T201">
        <v>25.4</v>
      </c>
      <c r="U201">
        <v>507</v>
      </c>
      <c r="V201" s="1">
        <v>511</v>
      </c>
      <c r="W201" s="1">
        <v>194</v>
      </c>
      <c r="X201" t="s">
        <v>153</v>
      </c>
      <c r="Y201">
        <v>60</v>
      </c>
      <c r="Z201">
        <v>4</v>
      </c>
      <c r="AA201">
        <v>9.5299999999999994</v>
      </c>
      <c r="AB201">
        <v>71.3</v>
      </c>
      <c r="AC201">
        <v>377</v>
      </c>
      <c r="AD201">
        <v>181</v>
      </c>
      <c r="AE201">
        <v>4</v>
      </c>
      <c r="AF201">
        <v>40</v>
      </c>
      <c r="AG201">
        <v>0</v>
      </c>
      <c r="AH201">
        <v>0</v>
      </c>
      <c r="AI201">
        <v>4</v>
      </c>
      <c r="AJ201">
        <v>40</v>
      </c>
      <c r="AK201">
        <v>0</v>
      </c>
      <c r="AL201">
        <v>0</v>
      </c>
      <c r="AN201">
        <v>350</v>
      </c>
      <c r="AO201">
        <v>350</v>
      </c>
      <c r="AP201" t="s">
        <v>162</v>
      </c>
      <c r="AR201">
        <v>22.2</v>
      </c>
      <c r="AS201">
        <v>387</v>
      </c>
      <c r="AT201">
        <v>548</v>
      </c>
      <c r="AU201">
        <v>196</v>
      </c>
      <c r="AV201" t="s">
        <v>153</v>
      </c>
      <c r="AW201">
        <v>60</v>
      </c>
      <c r="AX201">
        <v>4</v>
      </c>
      <c r="AY201">
        <v>9.5299999999999994</v>
      </c>
      <c r="AZ201">
        <v>71.3</v>
      </c>
      <c r="BA201">
        <v>377</v>
      </c>
      <c r="BB201">
        <v>181</v>
      </c>
      <c r="BC201">
        <v>5</v>
      </c>
      <c r="BD201">
        <v>40</v>
      </c>
      <c r="BE201">
        <v>2</v>
      </c>
      <c r="BF201">
        <v>70</v>
      </c>
      <c r="BG201">
        <v>5</v>
      </c>
      <c r="BH201">
        <v>40</v>
      </c>
      <c r="BI201">
        <v>2</v>
      </c>
      <c r="BJ201">
        <v>70</v>
      </c>
      <c r="BL201" s="30">
        <v>2</v>
      </c>
      <c r="BM201" t="s">
        <v>166</v>
      </c>
      <c r="BN201" t="s">
        <v>153</v>
      </c>
      <c r="BP201" s="30">
        <v>71.3</v>
      </c>
      <c r="BQ201">
        <v>3</v>
      </c>
      <c r="BR201">
        <v>6</v>
      </c>
      <c r="BS201">
        <v>377</v>
      </c>
      <c r="BT201">
        <v>181</v>
      </c>
      <c r="BU201" s="23">
        <v>0.45</v>
      </c>
    </row>
    <row r="202" spans="1:74">
      <c r="A202">
        <v>197</v>
      </c>
      <c r="B202" s="1">
        <v>1</v>
      </c>
      <c r="G202" t="s">
        <v>84</v>
      </c>
      <c r="H202" s="1" t="s">
        <v>272</v>
      </c>
      <c r="I202">
        <v>21.6</v>
      </c>
      <c r="J202">
        <v>21.6</v>
      </c>
      <c r="K202">
        <v>21.6</v>
      </c>
      <c r="L202">
        <v>2800</v>
      </c>
      <c r="M202">
        <v>2330</v>
      </c>
      <c r="N202">
        <v>0</v>
      </c>
      <c r="O202" s="11">
        <v>883</v>
      </c>
      <c r="P202">
        <v>250</v>
      </c>
      <c r="Q202">
        <v>350</v>
      </c>
      <c r="R202" t="s">
        <v>39</v>
      </c>
      <c r="T202">
        <v>15.9</v>
      </c>
      <c r="U202">
        <v>199</v>
      </c>
      <c r="V202" s="1">
        <v>508</v>
      </c>
      <c r="W202" s="1">
        <v>194</v>
      </c>
      <c r="X202" t="s">
        <v>153</v>
      </c>
      <c r="Y202">
        <v>60</v>
      </c>
      <c r="Z202">
        <v>4</v>
      </c>
      <c r="AA202">
        <v>9.5299999999999994</v>
      </c>
      <c r="AB202">
        <v>71.3</v>
      </c>
      <c r="AC202">
        <v>377</v>
      </c>
      <c r="AD202">
        <v>181</v>
      </c>
      <c r="AE202">
        <v>5</v>
      </c>
      <c r="AF202">
        <v>40</v>
      </c>
      <c r="AG202">
        <v>2</v>
      </c>
      <c r="AH202">
        <v>55</v>
      </c>
      <c r="AI202">
        <v>5</v>
      </c>
      <c r="AJ202">
        <v>40</v>
      </c>
      <c r="AK202">
        <v>2</v>
      </c>
      <c r="AL202">
        <v>55</v>
      </c>
      <c r="AN202">
        <v>350</v>
      </c>
      <c r="AO202">
        <v>350</v>
      </c>
      <c r="AP202" t="s">
        <v>162</v>
      </c>
      <c r="AR202">
        <v>22.2</v>
      </c>
      <c r="AS202">
        <v>387</v>
      </c>
      <c r="AT202">
        <v>548</v>
      </c>
      <c r="AU202">
        <v>196</v>
      </c>
      <c r="AV202" t="s">
        <v>153</v>
      </c>
      <c r="AW202">
        <v>60</v>
      </c>
      <c r="AX202">
        <v>4</v>
      </c>
      <c r="AY202">
        <v>9.5299999999999994</v>
      </c>
      <c r="AZ202">
        <v>71.3</v>
      </c>
      <c r="BA202">
        <v>377</v>
      </c>
      <c r="BB202">
        <v>181</v>
      </c>
      <c r="BC202">
        <v>5</v>
      </c>
      <c r="BD202">
        <v>40</v>
      </c>
      <c r="BE202">
        <v>2</v>
      </c>
      <c r="BF202">
        <v>70</v>
      </c>
      <c r="BG202">
        <v>5</v>
      </c>
      <c r="BH202">
        <v>40</v>
      </c>
      <c r="BI202">
        <v>2</v>
      </c>
      <c r="BJ202">
        <v>70</v>
      </c>
      <c r="BL202" s="30">
        <v>2</v>
      </c>
      <c r="BM202" t="s">
        <v>166</v>
      </c>
      <c r="BN202" t="s">
        <v>153</v>
      </c>
      <c r="BP202" s="30">
        <v>71.3</v>
      </c>
      <c r="BQ202">
        <v>3</v>
      </c>
      <c r="BR202">
        <v>6</v>
      </c>
      <c r="BS202">
        <v>377</v>
      </c>
      <c r="BT202">
        <v>181</v>
      </c>
      <c r="BU202" s="23">
        <v>0.56999999999999995</v>
      </c>
    </row>
    <row r="203" spans="1:74" s="3" customFormat="1">
      <c r="A203">
        <v>198</v>
      </c>
      <c r="B203" s="1">
        <v>1</v>
      </c>
      <c r="G203" s="3" t="s">
        <v>84</v>
      </c>
      <c r="H203" s="4" t="s">
        <v>273</v>
      </c>
      <c r="I203" s="3">
        <v>21.7</v>
      </c>
      <c r="J203" s="3">
        <v>21.7</v>
      </c>
      <c r="K203" s="3">
        <v>21.7</v>
      </c>
      <c r="L203" s="3">
        <v>2800</v>
      </c>
      <c r="M203" s="3">
        <v>2330</v>
      </c>
      <c r="N203" s="3">
        <v>0</v>
      </c>
      <c r="O203" s="10">
        <v>-883</v>
      </c>
      <c r="P203" s="3">
        <v>250</v>
      </c>
      <c r="Q203" s="3">
        <v>350</v>
      </c>
      <c r="R203" s="3" t="s">
        <v>39</v>
      </c>
      <c r="S203" s="9"/>
      <c r="T203" s="3">
        <v>15.9</v>
      </c>
      <c r="U203" s="3">
        <v>199</v>
      </c>
      <c r="V203" s="4">
        <v>508</v>
      </c>
      <c r="W203" s="4">
        <v>194</v>
      </c>
      <c r="X203" s="3" t="s">
        <v>153</v>
      </c>
      <c r="Y203" s="3">
        <v>60</v>
      </c>
      <c r="Z203" s="3">
        <v>4</v>
      </c>
      <c r="AA203" s="3">
        <v>9.5299999999999994</v>
      </c>
      <c r="AB203">
        <v>71.3</v>
      </c>
      <c r="AC203" s="3">
        <v>377</v>
      </c>
      <c r="AD203" s="3">
        <v>181</v>
      </c>
      <c r="AE203" s="3">
        <v>5</v>
      </c>
      <c r="AF203" s="3">
        <v>40</v>
      </c>
      <c r="AG203" s="3">
        <v>2</v>
      </c>
      <c r="AH203" s="3">
        <v>55</v>
      </c>
      <c r="AI203" s="3">
        <v>5</v>
      </c>
      <c r="AJ203" s="3">
        <v>40</v>
      </c>
      <c r="AK203" s="3">
        <v>2</v>
      </c>
      <c r="AL203" s="3">
        <v>55</v>
      </c>
      <c r="AM203" s="9"/>
      <c r="AN203" s="3">
        <v>350</v>
      </c>
      <c r="AO203" s="3">
        <v>350</v>
      </c>
      <c r="AP203" s="3" t="s">
        <v>162</v>
      </c>
      <c r="AQ203" s="9"/>
      <c r="AR203" s="3">
        <v>22.2</v>
      </c>
      <c r="AS203" s="3">
        <v>387</v>
      </c>
      <c r="AT203" s="3">
        <v>548</v>
      </c>
      <c r="AU203" s="3">
        <v>196</v>
      </c>
      <c r="AV203" s="3" t="s">
        <v>153</v>
      </c>
      <c r="AW203" s="3">
        <v>60</v>
      </c>
      <c r="AX203" s="3">
        <v>4</v>
      </c>
      <c r="AY203" s="3">
        <v>9.5299999999999994</v>
      </c>
      <c r="AZ203" s="3">
        <v>71.3</v>
      </c>
      <c r="BA203" s="3">
        <v>377</v>
      </c>
      <c r="BB203" s="3">
        <v>181</v>
      </c>
      <c r="BC203" s="3">
        <v>5</v>
      </c>
      <c r="BD203" s="3">
        <v>40</v>
      </c>
      <c r="BE203" s="3">
        <v>2</v>
      </c>
      <c r="BF203" s="3">
        <v>70</v>
      </c>
      <c r="BG203" s="3">
        <v>5</v>
      </c>
      <c r="BH203" s="3">
        <v>40</v>
      </c>
      <c r="BI203" s="3">
        <v>2</v>
      </c>
      <c r="BJ203" s="3">
        <v>70</v>
      </c>
      <c r="BK203" s="9"/>
      <c r="BL203" s="9">
        <v>2</v>
      </c>
      <c r="BM203" s="3" t="s">
        <v>166</v>
      </c>
      <c r="BN203" s="3" t="s">
        <v>153</v>
      </c>
      <c r="BO203" s="9"/>
      <c r="BP203" s="9">
        <v>71.3</v>
      </c>
      <c r="BQ203" s="3">
        <v>3</v>
      </c>
      <c r="BR203" s="3">
        <v>6</v>
      </c>
      <c r="BS203" s="3">
        <v>377</v>
      </c>
      <c r="BT203" s="3">
        <v>181</v>
      </c>
      <c r="BU203" s="84">
        <v>0.56999999999999995</v>
      </c>
    </row>
    <row r="204" spans="1:74">
      <c r="A204">
        <v>199</v>
      </c>
      <c r="B204" s="1">
        <v>1</v>
      </c>
      <c r="C204">
        <v>56</v>
      </c>
      <c r="D204" t="s">
        <v>79</v>
      </c>
      <c r="E204">
        <v>2001</v>
      </c>
      <c r="F204" t="s">
        <v>33</v>
      </c>
      <c r="G204" s="7" t="s">
        <v>585</v>
      </c>
      <c r="H204" s="1" t="s">
        <v>274</v>
      </c>
      <c r="I204" s="7">
        <v>33.4</v>
      </c>
      <c r="J204" s="7">
        <v>33.4</v>
      </c>
      <c r="K204" s="7">
        <v>33.4</v>
      </c>
      <c r="L204" s="7">
        <v>4500</v>
      </c>
      <c r="M204" s="7">
        <v>2730</v>
      </c>
      <c r="N204" s="7">
        <v>0</v>
      </c>
      <c r="O204" s="7">
        <v>1770</v>
      </c>
      <c r="P204" s="7">
        <v>450</v>
      </c>
      <c r="Q204" s="7">
        <v>750</v>
      </c>
      <c r="R204" s="7" t="s">
        <v>580</v>
      </c>
      <c r="S204" s="30" t="s">
        <v>581</v>
      </c>
      <c r="T204" s="7">
        <v>25.4</v>
      </c>
      <c r="U204" s="7">
        <v>507</v>
      </c>
      <c r="V204" s="7">
        <v>462</v>
      </c>
      <c r="W204" s="34">
        <v>205</v>
      </c>
      <c r="X204" s="7" t="s">
        <v>582</v>
      </c>
      <c r="Y204" s="7">
        <v>100</v>
      </c>
      <c r="Z204" s="7">
        <v>2</v>
      </c>
      <c r="AA204" s="7">
        <v>12.7</v>
      </c>
      <c r="AB204" s="7">
        <v>127</v>
      </c>
      <c r="AC204" s="7">
        <v>365</v>
      </c>
      <c r="AD204" s="34">
        <v>205</v>
      </c>
      <c r="AE204" s="22">
        <v>4</v>
      </c>
      <c r="AF204" s="22">
        <v>35.9</v>
      </c>
      <c r="AG204" s="22">
        <v>4</v>
      </c>
      <c r="AH204" s="22">
        <f>2.5*25</f>
        <v>62.5</v>
      </c>
      <c r="AI204" s="22">
        <v>4</v>
      </c>
      <c r="AJ204" s="22">
        <v>35.9</v>
      </c>
      <c r="AK204" s="22">
        <v>4</v>
      </c>
      <c r="AL204" s="22">
        <f>25*2.5</f>
        <v>62.5</v>
      </c>
      <c r="AN204" s="7">
        <v>800</v>
      </c>
      <c r="AO204" s="7">
        <v>700</v>
      </c>
      <c r="AP204" s="7" t="s">
        <v>583</v>
      </c>
      <c r="AQ204" s="30" t="s">
        <v>581</v>
      </c>
      <c r="AR204" s="7">
        <v>28.7</v>
      </c>
      <c r="AS204" s="7">
        <v>642</v>
      </c>
      <c r="AT204" s="7">
        <v>464</v>
      </c>
      <c r="AU204" s="34">
        <v>205</v>
      </c>
      <c r="AV204" s="7" t="s">
        <v>584</v>
      </c>
      <c r="AW204" s="7">
        <v>100</v>
      </c>
      <c r="AX204" s="7">
        <v>2</v>
      </c>
      <c r="AY204" s="7">
        <v>12.7</v>
      </c>
      <c r="AZ204" s="7">
        <v>127</v>
      </c>
      <c r="BA204" s="7">
        <v>365</v>
      </c>
      <c r="BB204" s="34">
        <v>205</v>
      </c>
      <c r="BC204" s="34">
        <v>5</v>
      </c>
      <c r="BD204" s="34">
        <v>60</v>
      </c>
      <c r="BE204" s="34">
        <v>2</v>
      </c>
      <c r="BF204" s="16">
        <f>2.5*29</f>
        <v>72.5</v>
      </c>
      <c r="BG204" s="34">
        <v>5</v>
      </c>
      <c r="BH204" s="34">
        <v>60</v>
      </c>
      <c r="BI204" s="34">
        <v>2</v>
      </c>
      <c r="BJ204" s="16">
        <f>2.5*29</f>
        <v>72.5</v>
      </c>
      <c r="BM204" s="7" t="s">
        <v>700</v>
      </c>
      <c r="BN204" t="s">
        <v>62</v>
      </c>
      <c r="BP204" s="30">
        <v>127</v>
      </c>
      <c r="BQ204" s="7">
        <v>5</v>
      </c>
      <c r="BR204" s="7">
        <v>10</v>
      </c>
      <c r="BS204" s="7">
        <v>365</v>
      </c>
      <c r="BT204" s="34">
        <v>205</v>
      </c>
      <c r="BU204" s="48"/>
    </row>
    <row r="205" spans="1:74">
      <c r="A205">
        <v>200</v>
      </c>
      <c r="B205" s="1">
        <v>3</v>
      </c>
      <c r="C205">
        <v>57</v>
      </c>
      <c r="D205" t="s">
        <v>49</v>
      </c>
      <c r="E205">
        <v>2001</v>
      </c>
      <c r="F205" t="s">
        <v>33</v>
      </c>
      <c r="G205" s="35" t="s">
        <v>590</v>
      </c>
      <c r="H205" s="1" t="s">
        <v>275</v>
      </c>
      <c r="I205" s="2"/>
      <c r="J205" s="2"/>
      <c r="K205" s="2"/>
      <c r="L205" s="2"/>
      <c r="M205" s="2"/>
      <c r="N205" s="7">
        <v>0</v>
      </c>
      <c r="O205" s="7">
        <v>100</v>
      </c>
      <c r="P205" s="7">
        <v>200</v>
      </c>
      <c r="Q205" s="7">
        <v>300</v>
      </c>
      <c r="R205" s="7" t="s">
        <v>586</v>
      </c>
      <c r="T205" s="7">
        <v>15.9</v>
      </c>
      <c r="U205" s="7">
        <v>199</v>
      </c>
      <c r="V205" s="7">
        <v>470</v>
      </c>
      <c r="W205" s="7">
        <v>194</v>
      </c>
      <c r="X205" s="7" t="s">
        <v>587</v>
      </c>
      <c r="Y205" s="7">
        <v>50</v>
      </c>
      <c r="Z205" s="2">
        <v>3</v>
      </c>
      <c r="AA205" s="7">
        <v>6.35</v>
      </c>
      <c r="AB205" s="7">
        <v>31.7</v>
      </c>
      <c r="AC205" s="7">
        <v>390</v>
      </c>
      <c r="AD205" s="7">
        <v>185</v>
      </c>
      <c r="AE205" s="7">
        <v>3</v>
      </c>
      <c r="AF205" s="7">
        <v>35</v>
      </c>
      <c r="AG205" s="7">
        <v>2</v>
      </c>
      <c r="AH205" s="7">
        <v>35</v>
      </c>
      <c r="AI205" s="7">
        <v>3</v>
      </c>
      <c r="AJ205" s="7">
        <v>35</v>
      </c>
      <c r="AK205" s="7">
        <v>2</v>
      </c>
      <c r="AL205" s="7">
        <v>35</v>
      </c>
      <c r="AN205" s="7">
        <v>300</v>
      </c>
      <c r="AO205" s="7">
        <v>300</v>
      </c>
      <c r="AP205" s="7" t="s">
        <v>588</v>
      </c>
      <c r="AR205" s="7">
        <v>19.100000000000001</v>
      </c>
      <c r="AS205" s="7">
        <v>287</v>
      </c>
      <c r="AT205" s="7">
        <v>450</v>
      </c>
      <c r="AU205" s="7">
        <v>208</v>
      </c>
      <c r="AV205" s="7" t="s">
        <v>589</v>
      </c>
      <c r="AW205" s="7">
        <v>40</v>
      </c>
      <c r="AX205" s="2">
        <v>4</v>
      </c>
      <c r="AY205" s="7">
        <v>6.35</v>
      </c>
      <c r="AZ205" s="7">
        <v>31.7</v>
      </c>
      <c r="BA205" s="7">
        <v>390</v>
      </c>
      <c r="BB205" s="7">
        <v>185</v>
      </c>
      <c r="BC205" s="7">
        <v>4</v>
      </c>
      <c r="BD205" s="34">
        <v>30</v>
      </c>
      <c r="BE205">
        <v>2</v>
      </c>
      <c r="BF205" s="16">
        <f>2.5*19</f>
        <v>47.5</v>
      </c>
      <c r="BG205">
        <v>4</v>
      </c>
      <c r="BH205" s="34">
        <v>30</v>
      </c>
      <c r="BI205">
        <v>2</v>
      </c>
      <c r="BJ205" s="16">
        <f>2.5*19</f>
        <v>47.5</v>
      </c>
      <c r="BM205" t="s">
        <v>442</v>
      </c>
      <c r="BN205" t="s">
        <v>698</v>
      </c>
      <c r="BQ205" s="7">
        <v>4</v>
      </c>
      <c r="BR205" s="36">
        <v>8</v>
      </c>
      <c r="BS205" s="7">
        <v>390</v>
      </c>
      <c r="BT205">
        <v>185</v>
      </c>
    </row>
    <row r="206" spans="1:74">
      <c r="A206">
        <v>201</v>
      </c>
      <c r="B206" s="1">
        <v>3</v>
      </c>
      <c r="C206">
        <v>58</v>
      </c>
      <c r="D206" t="s">
        <v>49</v>
      </c>
      <c r="E206">
        <v>2001</v>
      </c>
      <c r="F206" t="s">
        <v>27</v>
      </c>
      <c r="G206" s="7" t="s">
        <v>594</v>
      </c>
      <c r="H206" s="1" t="s">
        <v>276</v>
      </c>
      <c r="I206" s="2"/>
      <c r="J206" s="2"/>
      <c r="K206" s="2"/>
      <c r="L206" s="2"/>
      <c r="M206" s="2"/>
      <c r="N206" s="7">
        <v>0</v>
      </c>
      <c r="O206" s="7">
        <v>100</v>
      </c>
      <c r="P206" s="7">
        <v>200</v>
      </c>
      <c r="Q206" s="7">
        <v>300</v>
      </c>
      <c r="R206" s="7" t="s">
        <v>591</v>
      </c>
      <c r="T206" s="7">
        <v>9.5299999999999994</v>
      </c>
      <c r="U206" s="7">
        <v>71.3</v>
      </c>
      <c r="V206" s="7">
        <v>390</v>
      </c>
      <c r="W206" s="7">
        <v>190</v>
      </c>
      <c r="X206" s="7" t="s">
        <v>589</v>
      </c>
      <c r="Y206" s="7">
        <v>50</v>
      </c>
      <c r="Z206" s="2">
        <v>2</v>
      </c>
      <c r="AA206" s="7">
        <v>6.35</v>
      </c>
      <c r="AB206" s="7">
        <v>31.7</v>
      </c>
      <c r="AC206" s="7">
        <v>390</v>
      </c>
      <c r="AD206" s="7">
        <v>185</v>
      </c>
      <c r="AE206" s="7">
        <v>5</v>
      </c>
      <c r="AF206" s="7">
        <v>35</v>
      </c>
      <c r="AG206" s="7">
        <v>0</v>
      </c>
      <c r="AH206" s="7">
        <v>0</v>
      </c>
      <c r="AI206" s="7">
        <v>5</v>
      </c>
      <c r="AJ206" s="7">
        <v>35</v>
      </c>
      <c r="AK206" s="7">
        <v>0</v>
      </c>
      <c r="AL206" s="7">
        <v>0</v>
      </c>
      <c r="AN206" s="7">
        <v>300</v>
      </c>
      <c r="AO206" s="7">
        <v>300</v>
      </c>
      <c r="AP206" s="7" t="s">
        <v>592</v>
      </c>
      <c r="AR206" s="7">
        <v>19.100000000000001</v>
      </c>
      <c r="AS206" s="7">
        <v>287</v>
      </c>
      <c r="AT206" s="7">
        <v>450</v>
      </c>
      <c r="AU206" s="7">
        <v>208</v>
      </c>
      <c r="AV206" s="7" t="s">
        <v>593</v>
      </c>
      <c r="AW206" s="7">
        <v>40</v>
      </c>
      <c r="AX206" s="2">
        <v>4</v>
      </c>
      <c r="AY206" s="7">
        <v>6.35</v>
      </c>
      <c r="AZ206" s="7">
        <v>31.7</v>
      </c>
      <c r="BA206" s="7">
        <v>390</v>
      </c>
      <c r="BB206" s="7">
        <v>185</v>
      </c>
      <c r="BC206" s="7">
        <v>4</v>
      </c>
      <c r="BD206" s="34">
        <v>30</v>
      </c>
      <c r="BE206">
        <v>2</v>
      </c>
      <c r="BF206" s="16">
        <f>2.5*19</f>
        <v>47.5</v>
      </c>
      <c r="BG206">
        <v>4</v>
      </c>
      <c r="BH206" s="34">
        <v>30</v>
      </c>
      <c r="BI206">
        <v>2</v>
      </c>
      <c r="BJ206" s="16">
        <f>2.5*19</f>
        <v>47.5</v>
      </c>
      <c r="BM206" t="s">
        <v>442</v>
      </c>
      <c r="BN206" t="s">
        <v>694</v>
      </c>
      <c r="BQ206" s="7">
        <v>4</v>
      </c>
      <c r="BR206" s="36">
        <v>8</v>
      </c>
      <c r="BS206" s="7">
        <v>390</v>
      </c>
      <c r="BT206">
        <v>185</v>
      </c>
    </row>
    <row r="207" spans="1:74" s="5" customFormat="1">
      <c r="A207">
        <v>202</v>
      </c>
      <c r="B207" s="1">
        <v>1</v>
      </c>
      <c r="C207" s="5">
        <v>59</v>
      </c>
      <c r="D207" s="5" t="s">
        <v>80</v>
      </c>
      <c r="E207" s="5">
        <v>2001</v>
      </c>
      <c r="F207" s="5" t="s">
        <v>27</v>
      </c>
      <c r="G207" s="5" t="s">
        <v>158</v>
      </c>
      <c r="H207" s="6" t="s">
        <v>201</v>
      </c>
      <c r="I207" s="5">
        <v>45.7</v>
      </c>
      <c r="J207" s="5">
        <v>94.7</v>
      </c>
      <c r="K207" s="5">
        <v>94.7</v>
      </c>
      <c r="L207" s="5">
        <v>2600</v>
      </c>
      <c r="M207" s="5">
        <v>2400</v>
      </c>
      <c r="N207" s="5">
        <v>0</v>
      </c>
      <c r="O207" s="5">
        <v>4800</v>
      </c>
      <c r="P207" s="5">
        <v>250</v>
      </c>
      <c r="Q207" s="5">
        <v>400</v>
      </c>
      <c r="R207" s="5" t="s">
        <v>39</v>
      </c>
      <c r="S207" s="8" t="s">
        <v>256</v>
      </c>
      <c r="T207" s="5">
        <v>15.9</v>
      </c>
      <c r="U207" s="5">
        <v>199</v>
      </c>
      <c r="V207" s="6">
        <v>563</v>
      </c>
      <c r="W207" s="6">
        <v>191</v>
      </c>
      <c r="X207" s="5" t="s">
        <v>56</v>
      </c>
      <c r="Y207" s="5">
        <v>80</v>
      </c>
      <c r="Z207" s="5">
        <v>4</v>
      </c>
      <c r="AA207" s="5">
        <v>5.0999999999999996</v>
      </c>
      <c r="AB207" s="5">
        <v>20</v>
      </c>
      <c r="AC207" s="5">
        <v>1306</v>
      </c>
      <c r="AD207" s="5">
        <v>200</v>
      </c>
      <c r="AE207" s="5">
        <v>4</v>
      </c>
      <c r="AF207" s="5">
        <v>40</v>
      </c>
      <c r="AG207" s="5">
        <v>4</v>
      </c>
      <c r="AH207" s="5">
        <v>50</v>
      </c>
      <c r="AI207" s="5">
        <v>4</v>
      </c>
      <c r="AJ207" s="5">
        <v>40</v>
      </c>
      <c r="AK207" s="5">
        <v>4</v>
      </c>
      <c r="AL207" s="5">
        <v>50</v>
      </c>
      <c r="AM207" s="8"/>
      <c r="AN207" s="5">
        <v>400</v>
      </c>
      <c r="AO207" s="5">
        <v>400</v>
      </c>
      <c r="AP207" s="5" t="s">
        <v>39</v>
      </c>
      <c r="AQ207" s="8" t="s">
        <v>251</v>
      </c>
      <c r="AR207" s="5">
        <v>15.9</v>
      </c>
      <c r="AS207" s="5">
        <v>199</v>
      </c>
      <c r="AT207" s="5">
        <v>728</v>
      </c>
      <c r="AU207" s="5">
        <v>197</v>
      </c>
      <c r="AV207" s="5" t="s">
        <v>56</v>
      </c>
      <c r="AW207" s="5">
        <v>40</v>
      </c>
      <c r="AX207" s="5">
        <v>4</v>
      </c>
      <c r="AY207" s="5">
        <v>5.0999999999999996</v>
      </c>
      <c r="AZ207" s="5">
        <v>20</v>
      </c>
      <c r="BA207" s="5">
        <v>1306</v>
      </c>
      <c r="BB207" s="5">
        <v>200</v>
      </c>
      <c r="BC207" s="5">
        <v>4</v>
      </c>
      <c r="BD207" s="5">
        <v>40</v>
      </c>
      <c r="BE207" s="5">
        <v>2</v>
      </c>
      <c r="BF207" s="5">
        <v>100</v>
      </c>
      <c r="BG207" s="5">
        <v>4</v>
      </c>
      <c r="BH207" s="5">
        <v>40</v>
      </c>
      <c r="BI207" s="5">
        <v>2</v>
      </c>
      <c r="BJ207" s="5">
        <v>100</v>
      </c>
      <c r="BK207" s="8"/>
      <c r="BL207" s="8">
        <v>0</v>
      </c>
      <c r="BM207" s="5" t="s">
        <v>379</v>
      </c>
      <c r="BN207" s="5" t="s">
        <v>788</v>
      </c>
      <c r="BO207" s="8"/>
      <c r="BP207" s="8">
        <v>20</v>
      </c>
      <c r="BQ207" s="5">
        <v>4</v>
      </c>
      <c r="BR207" s="5">
        <v>16</v>
      </c>
      <c r="BS207" s="5">
        <v>1306</v>
      </c>
      <c r="BT207" s="5">
        <v>200</v>
      </c>
      <c r="BU207" s="83"/>
    </row>
    <row r="208" spans="1:74">
      <c r="A208">
        <v>203</v>
      </c>
      <c r="B208" s="1">
        <v>1</v>
      </c>
      <c r="G208" t="s">
        <v>158</v>
      </c>
      <c r="H208" s="1" t="s">
        <v>105</v>
      </c>
      <c r="I208">
        <v>36.6</v>
      </c>
      <c r="J208">
        <v>35.6</v>
      </c>
      <c r="K208">
        <v>35.6</v>
      </c>
      <c r="L208">
        <v>2600</v>
      </c>
      <c r="M208">
        <v>2400</v>
      </c>
      <c r="N208">
        <v>0</v>
      </c>
      <c r="O208">
        <v>1728</v>
      </c>
      <c r="P208">
        <v>250</v>
      </c>
      <c r="Q208">
        <v>400</v>
      </c>
      <c r="R208" t="s">
        <v>39</v>
      </c>
      <c r="S208" s="30" t="s">
        <v>256</v>
      </c>
      <c r="T208">
        <v>15.9</v>
      </c>
      <c r="U208">
        <v>199</v>
      </c>
      <c r="V208" s="1">
        <v>563</v>
      </c>
      <c r="W208" s="1">
        <v>191</v>
      </c>
      <c r="X208" t="s">
        <v>56</v>
      </c>
      <c r="Y208">
        <v>80</v>
      </c>
      <c r="Z208">
        <v>4</v>
      </c>
      <c r="AA208">
        <v>5.0999999999999996</v>
      </c>
      <c r="AB208">
        <v>20</v>
      </c>
      <c r="AC208">
        <v>1306</v>
      </c>
      <c r="AD208">
        <v>200</v>
      </c>
      <c r="AE208">
        <v>4</v>
      </c>
      <c r="AF208">
        <v>40</v>
      </c>
      <c r="AG208">
        <v>2</v>
      </c>
      <c r="AH208">
        <v>50</v>
      </c>
      <c r="AI208">
        <v>4</v>
      </c>
      <c r="AJ208">
        <v>40</v>
      </c>
      <c r="AK208">
        <v>2</v>
      </c>
      <c r="AL208">
        <v>50</v>
      </c>
      <c r="AN208">
        <v>400</v>
      </c>
      <c r="AO208">
        <v>400</v>
      </c>
      <c r="AP208" t="s">
        <v>39</v>
      </c>
      <c r="AQ208" s="30" t="s">
        <v>256</v>
      </c>
      <c r="AR208">
        <v>15.9</v>
      </c>
      <c r="AS208">
        <v>199</v>
      </c>
      <c r="AT208">
        <v>563</v>
      </c>
      <c r="AU208">
        <v>191</v>
      </c>
      <c r="AV208" t="s">
        <v>56</v>
      </c>
      <c r="AW208">
        <v>40</v>
      </c>
      <c r="AX208">
        <v>4</v>
      </c>
      <c r="AY208">
        <v>5.0999999999999996</v>
      </c>
      <c r="AZ208">
        <v>20</v>
      </c>
      <c r="BA208">
        <v>1306</v>
      </c>
      <c r="BB208">
        <v>200</v>
      </c>
      <c r="BC208">
        <v>4</v>
      </c>
      <c r="BD208">
        <v>40</v>
      </c>
      <c r="BE208">
        <v>2</v>
      </c>
      <c r="BF208">
        <v>100</v>
      </c>
      <c r="BG208">
        <v>4</v>
      </c>
      <c r="BH208">
        <v>40</v>
      </c>
      <c r="BI208">
        <v>2</v>
      </c>
      <c r="BJ208">
        <v>100</v>
      </c>
      <c r="BL208" s="30">
        <v>0</v>
      </c>
      <c r="BM208" t="s">
        <v>379</v>
      </c>
      <c r="BN208" s="7" t="s">
        <v>788</v>
      </c>
      <c r="BP208" s="30">
        <v>20</v>
      </c>
      <c r="BQ208">
        <v>4</v>
      </c>
      <c r="BR208">
        <v>16</v>
      </c>
      <c r="BS208">
        <v>1306</v>
      </c>
      <c r="BT208">
        <v>200</v>
      </c>
    </row>
    <row r="209" spans="1:74">
      <c r="A209">
        <v>204</v>
      </c>
      <c r="B209" s="1">
        <v>2</v>
      </c>
      <c r="C209">
        <v>60</v>
      </c>
      <c r="D209" t="s">
        <v>81</v>
      </c>
      <c r="E209">
        <v>2001</v>
      </c>
      <c r="F209" t="s">
        <v>27</v>
      </c>
      <c r="G209" t="s">
        <v>160</v>
      </c>
      <c r="H209" s="51" t="s">
        <v>104</v>
      </c>
      <c r="I209">
        <f>286*9.8/100</f>
        <v>28.028000000000002</v>
      </c>
      <c r="J209">
        <f>286*9.8/100</f>
        <v>28.028000000000002</v>
      </c>
      <c r="K209">
        <f>286*9.8/100</f>
        <v>28.028000000000002</v>
      </c>
      <c r="L209">
        <v>2000</v>
      </c>
      <c r="M209">
        <v>1400</v>
      </c>
      <c r="N209">
        <v>0</v>
      </c>
      <c r="O209">
        <v>98</v>
      </c>
      <c r="P209">
        <v>150</v>
      </c>
      <c r="Q209">
        <v>600</v>
      </c>
      <c r="R209" t="s">
        <v>62</v>
      </c>
      <c r="T209">
        <v>12.7</v>
      </c>
      <c r="U209">
        <v>127</v>
      </c>
      <c r="V209" s="1">
        <f>3519*9.8/100</f>
        <v>344.86200000000002</v>
      </c>
      <c r="W209" s="1">
        <f>1900000*9.8/100/1000</f>
        <v>186.2</v>
      </c>
      <c r="X209" t="s">
        <v>40</v>
      </c>
      <c r="Y209">
        <v>50</v>
      </c>
      <c r="Z209">
        <v>2</v>
      </c>
      <c r="AA209">
        <v>6.35</v>
      </c>
      <c r="AB209">
        <v>31.7</v>
      </c>
      <c r="AC209">
        <f>3505*9.8/100</f>
        <v>343.49</v>
      </c>
      <c r="AD209">
        <f>1732000*9.8/100/1000</f>
        <v>169.73599999999999</v>
      </c>
      <c r="AE209">
        <v>2</v>
      </c>
      <c r="AF209">
        <v>50</v>
      </c>
      <c r="AG209">
        <v>2</v>
      </c>
      <c r="AH209">
        <v>40</v>
      </c>
      <c r="AI209">
        <v>2</v>
      </c>
      <c r="AJ209">
        <v>50</v>
      </c>
      <c r="AK209">
        <v>2</v>
      </c>
      <c r="AL209">
        <v>40</v>
      </c>
      <c r="AN209">
        <v>500</v>
      </c>
      <c r="AO209">
        <v>210</v>
      </c>
      <c r="AP209" t="s">
        <v>62</v>
      </c>
      <c r="AR209">
        <v>12.7</v>
      </c>
      <c r="AS209">
        <v>127</v>
      </c>
      <c r="AT209">
        <f>3519*9.8/100</f>
        <v>344.86200000000002</v>
      </c>
      <c r="AU209">
        <f>1900000*9.8/100/1000</f>
        <v>186.2</v>
      </c>
      <c r="AV209" t="s">
        <v>40</v>
      </c>
      <c r="AW209">
        <v>80</v>
      </c>
      <c r="AX209">
        <v>2</v>
      </c>
      <c r="AY209">
        <v>6.35</v>
      </c>
      <c r="AZ209">
        <v>31.7</v>
      </c>
      <c r="BA209">
        <f>3505*9.8/100</f>
        <v>343.49</v>
      </c>
      <c r="BB209">
        <f>1732000*9.8/100/1000</f>
        <v>169.73599999999999</v>
      </c>
      <c r="BC209">
        <v>7</v>
      </c>
      <c r="BD209">
        <v>43</v>
      </c>
      <c r="BE209">
        <v>0</v>
      </c>
      <c r="BF209">
        <v>0</v>
      </c>
      <c r="BG209">
        <v>7</v>
      </c>
      <c r="BH209">
        <v>43</v>
      </c>
      <c r="BI209">
        <v>0</v>
      </c>
      <c r="BJ209">
        <v>0</v>
      </c>
      <c r="BL209" s="30">
        <v>0</v>
      </c>
      <c r="BM209" t="s">
        <v>166</v>
      </c>
      <c r="BN209" s="7" t="s">
        <v>785</v>
      </c>
      <c r="BQ209">
        <v>8</v>
      </c>
      <c r="BR209">
        <v>16</v>
      </c>
      <c r="BS209">
        <f>3505*9.8/100</f>
        <v>343.49</v>
      </c>
      <c r="BT209">
        <f>1732000*9.8/100/1000</f>
        <v>169.73599999999999</v>
      </c>
      <c r="BU209" s="23">
        <v>0.25</v>
      </c>
    </row>
    <row r="210" spans="1:74">
      <c r="A210">
        <v>205</v>
      </c>
      <c r="B210" s="1">
        <v>1</v>
      </c>
      <c r="C210">
        <v>61</v>
      </c>
      <c r="D210" t="s">
        <v>73</v>
      </c>
      <c r="E210">
        <v>2001</v>
      </c>
      <c r="F210" t="s">
        <v>27</v>
      </c>
      <c r="G210" t="s">
        <v>160</v>
      </c>
      <c r="H210" s="1" t="s">
        <v>201</v>
      </c>
      <c r="I210">
        <v>26.166</v>
      </c>
      <c r="J210">
        <v>26.166</v>
      </c>
      <c r="K210">
        <v>26.166</v>
      </c>
      <c r="L210">
        <v>2000</v>
      </c>
      <c r="M210">
        <v>1400</v>
      </c>
      <c r="N210">
        <v>0</v>
      </c>
      <c r="O210">
        <v>98</v>
      </c>
      <c r="P210">
        <v>180</v>
      </c>
      <c r="Q210">
        <v>250</v>
      </c>
      <c r="R210" t="s">
        <v>62</v>
      </c>
      <c r="T210">
        <v>12.7</v>
      </c>
      <c r="U210">
        <v>127</v>
      </c>
      <c r="V210" s="1">
        <v>344.86200000000002</v>
      </c>
      <c r="W210" s="1">
        <v>169.73599999999999</v>
      </c>
      <c r="X210" t="s">
        <v>40</v>
      </c>
      <c r="Y210">
        <v>80</v>
      </c>
      <c r="Z210">
        <v>2</v>
      </c>
      <c r="AA210">
        <v>6.35</v>
      </c>
      <c r="AB210">
        <v>31.7</v>
      </c>
      <c r="AC210">
        <v>343.49</v>
      </c>
      <c r="AD210">
        <v>169.73599999999999</v>
      </c>
      <c r="AE210">
        <v>3</v>
      </c>
      <c r="AF210">
        <v>50</v>
      </c>
      <c r="AG210">
        <v>2</v>
      </c>
      <c r="AH210">
        <v>50</v>
      </c>
      <c r="AI210">
        <v>3</v>
      </c>
      <c r="AJ210">
        <v>50</v>
      </c>
      <c r="AK210">
        <v>2</v>
      </c>
      <c r="AL210">
        <v>50</v>
      </c>
      <c r="AN210">
        <v>350</v>
      </c>
      <c r="AO210">
        <v>250</v>
      </c>
      <c r="AP210" t="s">
        <v>39</v>
      </c>
      <c r="AR210">
        <v>15.9</v>
      </c>
      <c r="AS210">
        <v>199</v>
      </c>
      <c r="AT210">
        <v>379.358</v>
      </c>
      <c r="AU210">
        <v>187.964</v>
      </c>
      <c r="AV210" t="s">
        <v>40</v>
      </c>
      <c r="AW210">
        <v>80</v>
      </c>
      <c r="AX210">
        <v>2</v>
      </c>
      <c r="AY210">
        <v>6.35</v>
      </c>
      <c r="AZ210">
        <v>31.7</v>
      </c>
      <c r="BA210">
        <v>343.49</v>
      </c>
      <c r="BB210">
        <v>169.73599999999999</v>
      </c>
      <c r="BC210">
        <v>2</v>
      </c>
      <c r="BD210">
        <v>50</v>
      </c>
      <c r="BE210">
        <v>2</v>
      </c>
      <c r="BF210">
        <v>50</v>
      </c>
      <c r="BG210">
        <v>2</v>
      </c>
      <c r="BH210">
        <v>50</v>
      </c>
      <c r="BI210">
        <v>2</v>
      </c>
      <c r="BJ210">
        <v>50</v>
      </c>
      <c r="BL210" s="30">
        <v>0</v>
      </c>
      <c r="BM210" t="s">
        <v>166</v>
      </c>
      <c r="BN210" s="7" t="s">
        <v>785</v>
      </c>
      <c r="BP210" s="30">
        <v>31.7</v>
      </c>
      <c r="BQ210">
        <v>3</v>
      </c>
      <c r="BR210">
        <v>6</v>
      </c>
      <c r="BS210">
        <v>343.49</v>
      </c>
      <c r="BT210">
        <v>169.73599999999999</v>
      </c>
      <c r="BU210" s="23">
        <v>0.32</v>
      </c>
    </row>
    <row r="211" spans="1:74">
      <c r="A211">
        <v>206</v>
      </c>
      <c r="B211" s="1">
        <v>1</v>
      </c>
      <c r="C211">
        <v>62</v>
      </c>
      <c r="D211" t="s">
        <v>82</v>
      </c>
      <c r="E211">
        <v>2001</v>
      </c>
      <c r="F211" t="s">
        <v>27</v>
      </c>
      <c r="G211" t="s">
        <v>160</v>
      </c>
      <c r="H211" s="1" t="s">
        <v>277</v>
      </c>
      <c r="I211">
        <v>50.9</v>
      </c>
      <c r="J211">
        <v>112.1</v>
      </c>
      <c r="K211">
        <v>112.1</v>
      </c>
      <c r="L211">
        <v>3000</v>
      </c>
      <c r="M211">
        <v>1600</v>
      </c>
      <c r="N211">
        <v>0</v>
      </c>
      <c r="O211">
        <v>3840</v>
      </c>
      <c r="P211">
        <v>310</v>
      </c>
      <c r="Q211">
        <v>400</v>
      </c>
      <c r="R211" t="s">
        <v>162</v>
      </c>
      <c r="S211" s="30" t="s">
        <v>278</v>
      </c>
      <c r="T211">
        <v>22.2</v>
      </c>
      <c r="U211">
        <v>387</v>
      </c>
      <c r="V211" s="1">
        <v>692.4</v>
      </c>
      <c r="W211" s="1">
        <v>196</v>
      </c>
      <c r="X211" t="s">
        <v>279</v>
      </c>
      <c r="Y211">
        <v>50</v>
      </c>
      <c r="Z211">
        <v>4</v>
      </c>
      <c r="AA211">
        <v>7.1</v>
      </c>
      <c r="AB211">
        <v>40</v>
      </c>
      <c r="AC211">
        <v>1281.5999999999999</v>
      </c>
      <c r="AD211">
        <v>177</v>
      </c>
      <c r="AE211">
        <v>5</v>
      </c>
      <c r="AF211">
        <v>44</v>
      </c>
      <c r="AG211">
        <v>0</v>
      </c>
      <c r="AH211">
        <v>0</v>
      </c>
      <c r="AI211">
        <v>5</v>
      </c>
      <c r="AJ211">
        <v>44</v>
      </c>
      <c r="AK211">
        <v>0</v>
      </c>
      <c r="AL211">
        <v>0</v>
      </c>
      <c r="AN211">
        <v>400</v>
      </c>
      <c r="AO211">
        <v>400</v>
      </c>
      <c r="AP211" t="s">
        <v>162</v>
      </c>
      <c r="AQ211" s="30" t="s">
        <v>278</v>
      </c>
      <c r="AR211">
        <v>22.2</v>
      </c>
      <c r="AS211">
        <v>387</v>
      </c>
      <c r="AT211">
        <v>692.4</v>
      </c>
      <c r="AU211">
        <v>196</v>
      </c>
      <c r="AV211" t="s">
        <v>279</v>
      </c>
      <c r="AW211">
        <v>4</v>
      </c>
      <c r="AX211">
        <v>50</v>
      </c>
      <c r="AY211">
        <v>7.1</v>
      </c>
      <c r="AZ211">
        <v>40</v>
      </c>
      <c r="BA211">
        <v>1281.5999999999999</v>
      </c>
      <c r="BB211">
        <v>177</v>
      </c>
      <c r="BC211">
        <v>6</v>
      </c>
      <c r="BD211">
        <v>44</v>
      </c>
      <c r="BE211">
        <v>2</v>
      </c>
      <c r="BF211">
        <v>50</v>
      </c>
      <c r="BG211">
        <v>6</v>
      </c>
      <c r="BH211">
        <v>44</v>
      </c>
      <c r="BI211">
        <v>2</v>
      </c>
      <c r="BJ211">
        <v>50</v>
      </c>
      <c r="BL211" s="30">
        <v>4</v>
      </c>
      <c r="BM211" t="s">
        <v>166</v>
      </c>
      <c r="BN211" s="7" t="s">
        <v>789</v>
      </c>
      <c r="BP211" s="30">
        <v>40</v>
      </c>
      <c r="BQ211">
        <v>7</v>
      </c>
      <c r="BR211">
        <v>14</v>
      </c>
      <c r="BS211">
        <v>1281.5999999999999</v>
      </c>
      <c r="BT211">
        <v>177</v>
      </c>
    </row>
    <row r="212" spans="1:74">
      <c r="A212">
        <v>207</v>
      </c>
      <c r="B212" s="1">
        <v>1</v>
      </c>
      <c r="G212" t="s">
        <v>84</v>
      </c>
      <c r="H212" s="1" t="s">
        <v>280</v>
      </c>
      <c r="I212">
        <v>51.3</v>
      </c>
      <c r="J212">
        <v>115.4</v>
      </c>
      <c r="K212">
        <v>115.1</v>
      </c>
      <c r="L212">
        <v>3000</v>
      </c>
      <c r="M212">
        <v>1600</v>
      </c>
      <c r="N212">
        <v>0</v>
      </c>
      <c r="O212">
        <v>3840</v>
      </c>
      <c r="P212">
        <v>310</v>
      </c>
      <c r="Q212">
        <v>400</v>
      </c>
      <c r="R212" t="s">
        <v>162</v>
      </c>
      <c r="S212" s="30" t="s">
        <v>382</v>
      </c>
      <c r="T212">
        <v>22.2</v>
      </c>
      <c r="U212">
        <v>387</v>
      </c>
      <c r="V212" s="1">
        <v>891.2</v>
      </c>
      <c r="W212" s="1">
        <v>183</v>
      </c>
      <c r="X212" t="s">
        <v>279</v>
      </c>
      <c r="Y212">
        <v>50</v>
      </c>
      <c r="Z212">
        <v>4</v>
      </c>
      <c r="AA212">
        <v>7.1</v>
      </c>
      <c r="AB212">
        <v>40</v>
      </c>
      <c r="AC212">
        <v>1281.5999999999999</v>
      </c>
      <c r="AD212">
        <v>177</v>
      </c>
      <c r="AE212">
        <v>5</v>
      </c>
      <c r="AF212">
        <v>44</v>
      </c>
      <c r="AG212">
        <v>4</v>
      </c>
      <c r="AH212">
        <v>50</v>
      </c>
      <c r="AI212">
        <v>5</v>
      </c>
      <c r="AJ212">
        <v>44</v>
      </c>
      <c r="AK212">
        <v>4</v>
      </c>
      <c r="AL212">
        <v>50</v>
      </c>
      <c r="AN212">
        <v>400</v>
      </c>
      <c r="AO212">
        <v>400</v>
      </c>
      <c r="AP212" t="s">
        <v>162</v>
      </c>
      <c r="AQ212" s="30" t="s">
        <v>382</v>
      </c>
      <c r="AR212">
        <v>22.2</v>
      </c>
      <c r="AS212">
        <v>387</v>
      </c>
      <c r="AT212">
        <v>891.2</v>
      </c>
      <c r="AU212">
        <v>182</v>
      </c>
      <c r="AV212" t="s">
        <v>279</v>
      </c>
      <c r="AW212">
        <v>4</v>
      </c>
      <c r="AX212">
        <v>50</v>
      </c>
      <c r="AY212">
        <v>7.1</v>
      </c>
      <c r="AZ212">
        <v>40</v>
      </c>
      <c r="BA212">
        <v>1281.5999999999999</v>
      </c>
      <c r="BB212">
        <v>177</v>
      </c>
      <c r="BC212">
        <v>6</v>
      </c>
      <c r="BD212">
        <v>44</v>
      </c>
      <c r="BE212">
        <v>2</v>
      </c>
      <c r="BF212">
        <v>50</v>
      </c>
      <c r="BG212">
        <v>6</v>
      </c>
      <c r="BH212">
        <v>44</v>
      </c>
      <c r="BI212">
        <v>2</v>
      </c>
      <c r="BJ212">
        <v>50</v>
      </c>
      <c r="BL212" s="30">
        <v>4</v>
      </c>
      <c r="BM212" t="s">
        <v>166</v>
      </c>
      <c r="BN212" s="7" t="s">
        <v>789</v>
      </c>
      <c r="BP212" s="30">
        <v>40</v>
      </c>
      <c r="BQ212">
        <v>5</v>
      </c>
      <c r="BR212">
        <v>10</v>
      </c>
      <c r="BS212">
        <v>1281.5999999999999</v>
      </c>
      <c r="BT212">
        <v>177</v>
      </c>
    </row>
    <row r="213" spans="1:74">
      <c r="A213">
        <v>208</v>
      </c>
      <c r="B213" s="1">
        <v>1</v>
      </c>
      <c r="C213">
        <v>63</v>
      </c>
      <c r="D213" t="s">
        <v>83</v>
      </c>
      <c r="E213">
        <v>2002</v>
      </c>
      <c r="F213" t="s">
        <v>33</v>
      </c>
      <c r="G213" t="s">
        <v>84</v>
      </c>
      <c r="H213" s="1" t="s">
        <v>85</v>
      </c>
      <c r="I213">
        <v>23.3</v>
      </c>
      <c r="J213">
        <v>23.3</v>
      </c>
      <c r="K213">
        <v>23.3</v>
      </c>
      <c r="L213">
        <v>2600</v>
      </c>
      <c r="M213">
        <v>2000</v>
      </c>
      <c r="N213">
        <v>0</v>
      </c>
      <c r="O213">
        <v>1176</v>
      </c>
      <c r="P213">
        <v>230</v>
      </c>
      <c r="Q213">
        <v>500</v>
      </c>
      <c r="R213" t="s">
        <v>57</v>
      </c>
      <c r="S213" s="30" t="s">
        <v>281</v>
      </c>
      <c r="T213">
        <v>19.100000000000001</v>
      </c>
      <c r="U213">
        <v>287</v>
      </c>
      <c r="V213" s="1">
        <v>384</v>
      </c>
      <c r="W213" s="1">
        <v>205</v>
      </c>
      <c r="X213" t="s">
        <v>153</v>
      </c>
      <c r="Y213">
        <v>100</v>
      </c>
      <c r="Z213">
        <v>4</v>
      </c>
      <c r="AA213">
        <v>9.5299999999999994</v>
      </c>
      <c r="AB213">
        <v>71.3</v>
      </c>
      <c r="AC213">
        <v>358</v>
      </c>
      <c r="AD213" s="16">
        <v>205</v>
      </c>
      <c r="AE213">
        <v>3</v>
      </c>
      <c r="AF213">
        <v>54</v>
      </c>
      <c r="AG213">
        <v>3</v>
      </c>
      <c r="AH213">
        <v>78</v>
      </c>
      <c r="AI213">
        <v>3</v>
      </c>
      <c r="AJ213">
        <v>54</v>
      </c>
      <c r="AK213">
        <v>3</v>
      </c>
      <c r="AL213">
        <v>78</v>
      </c>
      <c r="AN213">
        <v>400</v>
      </c>
      <c r="AO213">
        <v>500</v>
      </c>
      <c r="AP213" t="s">
        <v>57</v>
      </c>
      <c r="AQ213" s="30" t="s">
        <v>281</v>
      </c>
      <c r="AR213">
        <v>19.100000000000001</v>
      </c>
      <c r="AS213">
        <v>287</v>
      </c>
      <c r="AT213">
        <v>384</v>
      </c>
      <c r="AU213">
        <v>205</v>
      </c>
      <c r="AV213" t="s">
        <v>153</v>
      </c>
      <c r="AW213">
        <v>100</v>
      </c>
      <c r="AX213">
        <v>2</v>
      </c>
      <c r="AY213">
        <v>9.5299999999999994</v>
      </c>
      <c r="AZ213">
        <v>71.3</v>
      </c>
      <c r="BA213">
        <v>358</v>
      </c>
      <c r="BC213">
        <v>5</v>
      </c>
      <c r="BD213">
        <v>54</v>
      </c>
      <c r="BE213">
        <v>0</v>
      </c>
      <c r="BF213">
        <v>0</v>
      </c>
      <c r="BG213">
        <v>5</v>
      </c>
      <c r="BH213">
        <v>54</v>
      </c>
      <c r="BI213">
        <v>0</v>
      </c>
      <c r="BJ213">
        <v>0</v>
      </c>
      <c r="BL213" s="30">
        <v>0</v>
      </c>
      <c r="BM213" t="s">
        <v>166</v>
      </c>
      <c r="BN213" s="7" t="s">
        <v>953</v>
      </c>
      <c r="BP213" s="30">
        <v>71.3</v>
      </c>
      <c r="BQ213">
        <v>3</v>
      </c>
      <c r="BR213">
        <v>6</v>
      </c>
      <c r="BS213">
        <v>370</v>
      </c>
      <c r="BT213">
        <v>205</v>
      </c>
      <c r="BV213" s="23" t="s">
        <v>777</v>
      </c>
    </row>
    <row r="214" spans="1:74">
      <c r="A214">
        <v>209</v>
      </c>
      <c r="B214" s="1">
        <v>1</v>
      </c>
      <c r="G214" t="s">
        <v>84</v>
      </c>
      <c r="H214" s="1" t="s">
        <v>86</v>
      </c>
      <c r="I214">
        <v>22.1</v>
      </c>
      <c r="J214">
        <v>22.1</v>
      </c>
      <c r="K214">
        <v>22.1</v>
      </c>
      <c r="L214">
        <v>3600</v>
      </c>
      <c r="M214">
        <v>2000</v>
      </c>
      <c r="N214">
        <v>0</v>
      </c>
      <c r="O214">
        <v>1176</v>
      </c>
      <c r="P214">
        <v>230</v>
      </c>
      <c r="Q214">
        <v>500</v>
      </c>
      <c r="R214" t="s">
        <v>57</v>
      </c>
      <c r="S214" s="30" t="s">
        <v>281</v>
      </c>
      <c r="T214">
        <v>19.100000000000001</v>
      </c>
      <c r="U214">
        <v>287</v>
      </c>
      <c r="V214" s="1">
        <v>384</v>
      </c>
      <c r="W214" s="1">
        <v>205</v>
      </c>
      <c r="X214" t="s">
        <v>153</v>
      </c>
      <c r="Y214">
        <v>100</v>
      </c>
      <c r="Z214">
        <v>4</v>
      </c>
      <c r="AA214">
        <v>9.5299999999999994</v>
      </c>
      <c r="AB214">
        <v>71.3</v>
      </c>
      <c r="AC214">
        <v>358</v>
      </c>
      <c r="AD214" s="16">
        <v>205</v>
      </c>
      <c r="AE214">
        <v>3</v>
      </c>
      <c r="AF214">
        <v>54</v>
      </c>
      <c r="AG214">
        <v>3</v>
      </c>
      <c r="AH214">
        <v>78</v>
      </c>
      <c r="AI214">
        <v>3</v>
      </c>
      <c r="AJ214">
        <v>54</v>
      </c>
      <c r="AK214">
        <v>3</v>
      </c>
      <c r="AL214">
        <v>78</v>
      </c>
      <c r="AN214">
        <v>400</v>
      </c>
      <c r="AO214">
        <v>500</v>
      </c>
      <c r="AP214" t="s">
        <v>57</v>
      </c>
      <c r="AQ214" s="30" t="s">
        <v>281</v>
      </c>
      <c r="AR214">
        <v>19.100000000000001</v>
      </c>
      <c r="AS214">
        <v>287</v>
      </c>
      <c r="AT214">
        <v>384</v>
      </c>
      <c r="AU214">
        <v>205</v>
      </c>
      <c r="AV214" t="s">
        <v>153</v>
      </c>
      <c r="AW214">
        <v>100</v>
      </c>
      <c r="AX214">
        <v>2</v>
      </c>
      <c r="AY214">
        <v>9.5299999999999994</v>
      </c>
      <c r="AZ214">
        <v>71.3</v>
      </c>
      <c r="BA214">
        <v>358</v>
      </c>
      <c r="BC214">
        <v>5</v>
      </c>
      <c r="BD214">
        <v>54</v>
      </c>
      <c r="BE214">
        <v>0</v>
      </c>
      <c r="BF214">
        <v>0</v>
      </c>
      <c r="BG214">
        <v>5</v>
      </c>
      <c r="BH214">
        <v>54</v>
      </c>
      <c r="BI214">
        <v>0</v>
      </c>
      <c r="BJ214">
        <v>0</v>
      </c>
      <c r="BL214" s="30">
        <v>0</v>
      </c>
      <c r="BM214">
        <v>0</v>
      </c>
      <c r="BQ214">
        <v>0</v>
      </c>
      <c r="BR214">
        <v>0</v>
      </c>
      <c r="BS214">
        <v>0</v>
      </c>
      <c r="BT214">
        <v>0</v>
      </c>
      <c r="BU214" s="23">
        <v>0</v>
      </c>
      <c r="BV214" s="23" t="s">
        <v>777</v>
      </c>
    </row>
    <row r="215" spans="1:74">
      <c r="A215">
        <v>210</v>
      </c>
      <c r="B215" s="1">
        <v>1</v>
      </c>
      <c r="G215" t="s">
        <v>84</v>
      </c>
      <c r="H215" s="1" t="s">
        <v>87</v>
      </c>
      <c r="I215">
        <v>22.9</v>
      </c>
      <c r="J215">
        <v>22.9</v>
      </c>
      <c r="K215">
        <v>22.9</v>
      </c>
      <c r="L215">
        <v>3600</v>
      </c>
      <c r="M215">
        <v>2000</v>
      </c>
      <c r="N215">
        <v>0</v>
      </c>
      <c r="O215">
        <v>1176</v>
      </c>
      <c r="P215">
        <v>230</v>
      </c>
      <c r="Q215">
        <v>500</v>
      </c>
      <c r="R215" t="s">
        <v>57</v>
      </c>
      <c r="S215" s="30" t="s">
        <v>281</v>
      </c>
      <c r="T215">
        <v>19.100000000000001</v>
      </c>
      <c r="U215">
        <v>287</v>
      </c>
      <c r="V215" s="1">
        <v>384</v>
      </c>
      <c r="W215" s="1">
        <v>205</v>
      </c>
      <c r="X215" t="s">
        <v>153</v>
      </c>
      <c r="Y215">
        <v>100</v>
      </c>
      <c r="Z215">
        <v>4</v>
      </c>
      <c r="AA215">
        <v>9.5299999999999994</v>
      </c>
      <c r="AB215">
        <v>71.3</v>
      </c>
      <c r="AC215">
        <v>358</v>
      </c>
      <c r="AD215" s="16">
        <v>205</v>
      </c>
      <c r="AE215">
        <v>3</v>
      </c>
      <c r="AF215">
        <v>54</v>
      </c>
      <c r="AG215">
        <v>3</v>
      </c>
      <c r="AH215">
        <v>78</v>
      </c>
      <c r="AI215">
        <v>3</v>
      </c>
      <c r="AJ215">
        <v>54</v>
      </c>
      <c r="AK215">
        <v>3</v>
      </c>
      <c r="AL215">
        <v>78</v>
      </c>
      <c r="AN215">
        <v>400</v>
      </c>
      <c r="AO215">
        <v>500</v>
      </c>
      <c r="AP215" t="s">
        <v>57</v>
      </c>
      <c r="AQ215" s="30" t="s">
        <v>281</v>
      </c>
      <c r="AR215">
        <v>19.100000000000001</v>
      </c>
      <c r="AS215">
        <v>287</v>
      </c>
      <c r="AT215">
        <v>384</v>
      </c>
      <c r="AU215">
        <v>205</v>
      </c>
      <c r="AV215" t="s">
        <v>153</v>
      </c>
      <c r="AW215">
        <v>100</v>
      </c>
      <c r="AX215">
        <v>4</v>
      </c>
      <c r="AY215">
        <v>9.5299999999999994</v>
      </c>
      <c r="AZ215">
        <v>71.3</v>
      </c>
      <c r="BA215">
        <v>358</v>
      </c>
      <c r="BC215">
        <v>5</v>
      </c>
      <c r="BD215">
        <v>54</v>
      </c>
      <c r="BE215">
        <v>4</v>
      </c>
      <c r="BF215">
        <v>60</v>
      </c>
      <c r="BG215">
        <v>5</v>
      </c>
      <c r="BH215">
        <v>54</v>
      </c>
      <c r="BI215">
        <v>4</v>
      </c>
      <c r="BJ215">
        <v>60</v>
      </c>
      <c r="BL215" s="30">
        <v>0</v>
      </c>
      <c r="BM215">
        <v>0</v>
      </c>
      <c r="BQ215">
        <v>0</v>
      </c>
      <c r="BR215">
        <v>0</v>
      </c>
      <c r="BS215">
        <v>0</v>
      </c>
      <c r="BT215">
        <v>0</v>
      </c>
      <c r="BU215" s="23">
        <v>0</v>
      </c>
      <c r="BV215" s="23" t="s">
        <v>777</v>
      </c>
    </row>
    <row r="216" spans="1:74">
      <c r="A216">
        <v>211</v>
      </c>
      <c r="B216" s="1">
        <v>1</v>
      </c>
      <c r="C216">
        <v>64</v>
      </c>
      <c r="D216" t="s">
        <v>88</v>
      </c>
      <c r="E216">
        <v>2002</v>
      </c>
      <c r="F216" t="s">
        <v>33</v>
      </c>
      <c r="G216" t="s">
        <v>160</v>
      </c>
      <c r="H216" s="1" t="s">
        <v>282</v>
      </c>
      <c r="I216">
        <v>23</v>
      </c>
      <c r="J216">
        <v>23</v>
      </c>
      <c r="K216">
        <v>23</v>
      </c>
      <c r="L216">
        <v>3750</v>
      </c>
      <c r="M216">
        <v>1860</v>
      </c>
      <c r="N216">
        <v>0</v>
      </c>
      <c r="O216">
        <f>3.9*AN216*AO216/1000</f>
        <v>477.75</v>
      </c>
      <c r="P216">
        <v>300</v>
      </c>
      <c r="Q216">
        <v>400</v>
      </c>
      <c r="R216" t="s">
        <v>39</v>
      </c>
      <c r="S216" s="30" t="s">
        <v>76</v>
      </c>
      <c r="T216">
        <v>15.9</v>
      </c>
      <c r="U216">
        <v>199</v>
      </c>
      <c r="V216" s="1">
        <v>404</v>
      </c>
      <c r="W216" s="1">
        <v>205</v>
      </c>
      <c r="X216" t="s">
        <v>153</v>
      </c>
      <c r="Y216">
        <v>100</v>
      </c>
      <c r="Z216">
        <v>2</v>
      </c>
      <c r="AA216">
        <v>9.5299999999999994</v>
      </c>
      <c r="AB216">
        <v>71.3</v>
      </c>
      <c r="AC216">
        <v>398</v>
      </c>
      <c r="AD216" s="16">
        <v>205</v>
      </c>
      <c r="AE216">
        <v>5</v>
      </c>
      <c r="AF216">
        <v>43</v>
      </c>
      <c r="AG216">
        <v>0</v>
      </c>
      <c r="AH216">
        <v>0</v>
      </c>
      <c r="AI216">
        <v>5</v>
      </c>
      <c r="AJ216">
        <v>43</v>
      </c>
      <c r="AK216">
        <v>0</v>
      </c>
      <c r="AL216">
        <v>0</v>
      </c>
      <c r="AN216">
        <v>350</v>
      </c>
      <c r="AO216">
        <v>350</v>
      </c>
      <c r="AP216" t="s">
        <v>57</v>
      </c>
      <c r="AQ216" s="30" t="s">
        <v>76</v>
      </c>
      <c r="AR216">
        <v>19.100000000000001</v>
      </c>
      <c r="AS216">
        <v>287</v>
      </c>
      <c r="AT216">
        <v>364</v>
      </c>
      <c r="AU216">
        <v>205</v>
      </c>
      <c r="AV216" t="s">
        <v>153</v>
      </c>
      <c r="AW216">
        <v>100</v>
      </c>
      <c r="AX216">
        <v>4</v>
      </c>
      <c r="AY216">
        <v>9.5299999999999994</v>
      </c>
      <c r="AZ216">
        <v>71.3</v>
      </c>
      <c r="BA216">
        <v>398</v>
      </c>
      <c r="BC216">
        <v>4</v>
      </c>
      <c r="BD216">
        <v>45</v>
      </c>
      <c r="BE216">
        <v>2</v>
      </c>
      <c r="BF216">
        <v>60</v>
      </c>
      <c r="BG216">
        <v>4</v>
      </c>
      <c r="BH216">
        <v>45</v>
      </c>
      <c r="BI216">
        <v>2</v>
      </c>
      <c r="BJ216">
        <v>60</v>
      </c>
      <c r="BL216" s="30">
        <v>0</v>
      </c>
      <c r="BM216" t="s">
        <v>379</v>
      </c>
      <c r="BN216" t="s">
        <v>953</v>
      </c>
      <c r="BP216" s="30">
        <v>71.3</v>
      </c>
      <c r="BQ216">
        <v>2</v>
      </c>
      <c r="BR216">
        <v>8</v>
      </c>
      <c r="BS216">
        <v>398</v>
      </c>
      <c r="BT216">
        <v>205</v>
      </c>
      <c r="BV216" s="23" t="s">
        <v>777</v>
      </c>
    </row>
    <row r="217" spans="1:74">
      <c r="A217">
        <v>212</v>
      </c>
      <c r="B217" s="1">
        <v>1</v>
      </c>
      <c r="G217" t="s">
        <v>160</v>
      </c>
      <c r="H217" s="1" t="s">
        <v>283</v>
      </c>
      <c r="I217">
        <v>29.6</v>
      </c>
      <c r="J217">
        <v>29.6</v>
      </c>
      <c r="K217">
        <v>29.6</v>
      </c>
      <c r="L217">
        <v>3750</v>
      </c>
      <c r="M217">
        <v>1860</v>
      </c>
      <c r="N217">
        <v>0</v>
      </c>
      <c r="O217">
        <f>3.9*AN217*AO217/1000</f>
        <v>351</v>
      </c>
      <c r="P217">
        <v>300</v>
      </c>
      <c r="Q217">
        <v>400</v>
      </c>
      <c r="R217" t="s">
        <v>39</v>
      </c>
      <c r="S217" s="30" t="s">
        <v>76</v>
      </c>
      <c r="T217">
        <v>15.9</v>
      </c>
      <c r="U217">
        <v>199</v>
      </c>
      <c r="V217" s="1">
        <v>396</v>
      </c>
      <c r="W217" s="1">
        <v>205</v>
      </c>
      <c r="X217" t="s">
        <v>153</v>
      </c>
      <c r="Y217">
        <v>100</v>
      </c>
      <c r="Z217">
        <v>2</v>
      </c>
      <c r="AA217">
        <v>9.5299999999999994</v>
      </c>
      <c r="AB217">
        <v>71.3</v>
      </c>
      <c r="AC217">
        <v>350</v>
      </c>
      <c r="AD217" s="16">
        <v>205</v>
      </c>
      <c r="AE217">
        <v>5</v>
      </c>
      <c r="AF217">
        <v>43</v>
      </c>
      <c r="AG217">
        <v>0</v>
      </c>
      <c r="AH217">
        <v>0</v>
      </c>
      <c r="AI217">
        <v>5</v>
      </c>
      <c r="AJ217">
        <v>43</v>
      </c>
      <c r="AK217">
        <v>0</v>
      </c>
      <c r="AL217">
        <v>0</v>
      </c>
      <c r="AN217">
        <v>300</v>
      </c>
      <c r="AO217">
        <v>300</v>
      </c>
      <c r="AP217" t="s">
        <v>57</v>
      </c>
      <c r="AQ217" s="30" t="s">
        <v>76</v>
      </c>
      <c r="AR217">
        <v>19.100000000000001</v>
      </c>
      <c r="AS217">
        <v>287</v>
      </c>
      <c r="AT217">
        <v>384</v>
      </c>
      <c r="AU217">
        <v>205</v>
      </c>
      <c r="AV217" t="s">
        <v>153</v>
      </c>
      <c r="AW217">
        <v>100</v>
      </c>
      <c r="AX217">
        <v>4</v>
      </c>
      <c r="AY217">
        <v>9.5299999999999994</v>
      </c>
      <c r="AZ217">
        <v>71.3</v>
      </c>
      <c r="BA217">
        <v>350</v>
      </c>
      <c r="BC217">
        <v>4</v>
      </c>
      <c r="BD217">
        <v>45</v>
      </c>
      <c r="BE217">
        <v>2</v>
      </c>
      <c r="BF217">
        <v>60</v>
      </c>
      <c r="BG217">
        <v>4</v>
      </c>
      <c r="BH217">
        <v>45</v>
      </c>
      <c r="BI217">
        <v>2</v>
      </c>
      <c r="BJ217">
        <v>60</v>
      </c>
      <c r="BL217" s="30">
        <v>0</v>
      </c>
      <c r="BM217">
        <v>0</v>
      </c>
      <c r="BQ217">
        <v>0</v>
      </c>
      <c r="BR217">
        <v>0</v>
      </c>
      <c r="BS217">
        <v>0</v>
      </c>
      <c r="BT217">
        <v>0</v>
      </c>
      <c r="BU217" s="23">
        <v>0</v>
      </c>
      <c r="BV217" s="23" t="s">
        <v>777</v>
      </c>
    </row>
    <row r="218" spans="1:74">
      <c r="A218">
        <v>213</v>
      </c>
      <c r="B218" s="1">
        <v>1</v>
      </c>
      <c r="C218" s="7">
        <v>65</v>
      </c>
      <c r="D218" s="17" t="s">
        <v>75</v>
      </c>
      <c r="E218" s="17">
        <v>2002</v>
      </c>
      <c r="F218" s="17" t="s">
        <v>33</v>
      </c>
      <c r="G218" s="17" t="s">
        <v>84</v>
      </c>
      <c r="H218" s="7" t="s">
        <v>270</v>
      </c>
      <c r="I218" s="17">
        <v>47.6</v>
      </c>
      <c r="J218" s="17">
        <v>47.6</v>
      </c>
      <c r="K218" s="17">
        <v>47.6</v>
      </c>
      <c r="L218" s="17">
        <v>2000</v>
      </c>
      <c r="M218" s="17">
        <v>2000</v>
      </c>
      <c r="N218" s="17">
        <v>0</v>
      </c>
      <c r="O218" s="17">
        <f>0.3*I218*320*320/1000</f>
        <v>1462.2719999999997</v>
      </c>
      <c r="P218" s="17">
        <v>220</v>
      </c>
      <c r="Q218" s="17">
        <v>300</v>
      </c>
      <c r="R218" s="17" t="s">
        <v>39</v>
      </c>
      <c r="S218" s="31" t="s">
        <v>284</v>
      </c>
      <c r="T218" s="17">
        <v>15.9</v>
      </c>
      <c r="U218" s="17">
        <v>199</v>
      </c>
      <c r="V218" s="7">
        <v>818</v>
      </c>
      <c r="W218" s="7">
        <f>818/3971*1000</f>
        <v>205.99345253084866</v>
      </c>
      <c r="X218" s="17" t="s">
        <v>40</v>
      </c>
      <c r="Y218" s="17">
        <v>75</v>
      </c>
      <c r="Z218" s="17">
        <v>4</v>
      </c>
      <c r="AA218" s="17">
        <v>6.35</v>
      </c>
      <c r="AB218" s="17">
        <v>31.7</v>
      </c>
      <c r="AC218" s="17">
        <v>748</v>
      </c>
      <c r="AD218" s="17">
        <f>748/3631*1000</f>
        <v>206.00385568713853</v>
      </c>
      <c r="AE218" s="17">
        <v>4</v>
      </c>
      <c r="AF218" s="17">
        <v>30</v>
      </c>
      <c r="AG218" s="17">
        <v>2</v>
      </c>
      <c r="AH218" s="17">
        <v>35</v>
      </c>
      <c r="AI218" s="17">
        <v>4</v>
      </c>
      <c r="AJ218" s="17">
        <v>30</v>
      </c>
      <c r="AK218" s="17">
        <v>2</v>
      </c>
      <c r="AL218" s="17">
        <v>35</v>
      </c>
      <c r="AM218" s="31"/>
      <c r="AN218" s="17">
        <v>320</v>
      </c>
      <c r="AO218" s="17">
        <v>320</v>
      </c>
      <c r="AP218" s="17" t="s">
        <v>39</v>
      </c>
      <c r="AQ218" s="31" t="s">
        <v>284</v>
      </c>
      <c r="AR218" s="17">
        <v>15.9</v>
      </c>
      <c r="AS218" s="17">
        <v>199</v>
      </c>
      <c r="AT218" s="17">
        <v>818</v>
      </c>
      <c r="AU218" s="17">
        <f>818/3971*1000</f>
        <v>205.99345253084866</v>
      </c>
      <c r="AV218" s="17" t="s">
        <v>40</v>
      </c>
      <c r="AW218" s="17">
        <v>50</v>
      </c>
      <c r="AX218" s="17">
        <v>4</v>
      </c>
      <c r="AY218" s="17">
        <v>6.35</v>
      </c>
      <c r="AZ218" s="17">
        <v>31.7</v>
      </c>
      <c r="BA218" s="17">
        <v>748</v>
      </c>
      <c r="BB218" s="17">
        <f>748/3631*1000</f>
        <v>206.00385568713853</v>
      </c>
      <c r="BC218" s="17">
        <v>4</v>
      </c>
      <c r="BD218" s="17">
        <v>60</v>
      </c>
      <c r="BE218" s="17">
        <v>2</v>
      </c>
      <c r="BF218" s="17">
        <v>77</v>
      </c>
      <c r="BG218" s="17">
        <v>4</v>
      </c>
      <c r="BH218" s="17">
        <v>60</v>
      </c>
      <c r="BI218" s="17">
        <v>2</v>
      </c>
      <c r="BJ218" s="17">
        <v>77</v>
      </c>
      <c r="BK218" s="31"/>
      <c r="BL218" s="31">
        <v>0</v>
      </c>
      <c r="BM218" s="17" t="s">
        <v>379</v>
      </c>
      <c r="BN218" t="s">
        <v>785</v>
      </c>
      <c r="BO218" s="31"/>
      <c r="BP218" s="31">
        <v>31.7</v>
      </c>
      <c r="BQ218" s="17">
        <v>4</v>
      </c>
      <c r="BR218" s="17">
        <v>16</v>
      </c>
      <c r="BS218" s="17">
        <v>608</v>
      </c>
      <c r="BT218" s="7">
        <f>608/2112*1000</f>
        <v>287.87878787878788</v>
      </c>
      <c r="BU218" s="48"/>
      <c r="BV218" s="7"/>
    </row>
    <row r="219" spans="1:74">
      <c r="A219">
        <v>214</v>
      </c>
      <c r="B219" s="1">
        <v>1</v>
      </c>
      <c r="G219" t="s">
        <v>84</v>
      </c>
      <c r="H219" s="1" t="s">
        <v>271</v>
      </c>
      <c r="I219">
        <v>52.1</v>
      </c>
      <c r="J219">
        <v>52.1</v>
      </c>
      <c r="K219">
        <v>52.1</v>
      </c>
      <c r="L219">
        <v>2000</v>
      </c>
      <c r="M219">
        <v>2000</v>
      </c>
      <c r="N219">
        <v>0</v>
      </c>
      <c r="O219">
        <f>0.3*I219*320*320/1000</f>
        <v>1600.5119999999997</v>
      </c>
      <c r="P219">
        <v>220</v>
      </c>
      <c r="Q219">
        <v>300</v>
      </c>
      <c r="R219" t="s">
        <v>39</v>
      </c>
      <c r="S219" s="30" t="s">
        <v>284</v>
      </c>
      <c r="T219">
        <v>15.9</v>
      </c>
      <c r="U219">
        <v>199</v>
      </c>
      <c r="V219" s="1">
        <v>818</v>
      </c>
      <c r="W219" s="1">
        <f>818/3971*1000</f>
        <v>205.99345253084866</v>
      </c>
      <c r="X219" t="s">
        <v>40</v>
      </c>
      <c r="Y219">
        <v>75</v>
      </c>
      <c r="Z219">
        <v>4</v>
      </c>
      <c r="AA219">
        <v>6.35</v>
      </c>
      <c r="AB219">
        <v>31.7</v>
      </c>
      <c r="AC219">
        <v>748</v>
      </c>
      <c r="AD219">
        <f>748/3631*1000</f>
        <v>206.00385568713853</v>
      </c>
      <c r="AE219">
        <v>4</v>
      </c>
      <c r="AF219">
        <v>30</v>
      </c>
      <c r="AG219">
        <v>2</v>
      </c>
      <c r="AH219">
        <v>35</v>
      </c>
      <c r="AI219">
        <v>4</v>
      </c>
      <c r="AJ219">
        <v>30</v>
      </c>
      <c r="AK219">
        <v>2</v>
      </c>
      <c r="AL219">
        <v>35</v>
      </c>
      <c r="AN219">
        <v>320</v>
      </c>
      <c r="AO219">
        <v>320</v>
      </c>
      <c r="AP219" t="s">
        <v>39</v>
      </c>
      <c r="AQ219" s="30" t="s">
        <v>284</v>
      </c>
      <c r="AR219">
        <v>15.9</v>
      </c>
      <c r="AS219">
        <v>199</v>
      </c>
      <c r="AT219">
        <v>818</v>
      </c>
      <c r="AU219">
        <f>818/3971*1000</f>
        <v>205.99345253084866</v>
      </c>
      <c r="AV219" t="s">
        <v>40</v>
      </c>
      <c r="AW219">
        <v>50</v>
      </c>
      <c r="AX219">
        <v>4</v>
      </c>
      <c r="AY219">
        <v>6.35</v>
      </c>
      <c r="AZ219">
        <v>31.7</v>
      </c>
      <c r="BA219">
        <v>748</v>
      </c>
      <c r="BB219">
        <f>748/3631*1000</f>
        <v>206.00385568713853</v>
      </c>
      <c r="BC219">
        <v>4</v>
      </c>
      <c r="BD219">
        <v>42.5</v>
      </c>
      <c r="BE219">
        <v>2</v>
      </c>
      <c r="BF219">
        <v>94.5</v>
      </c>
      <c r="BG219">
        <v>4</v>
      </c>
      <c r="BH219">
        <v>42.5</v>
      </c>
      <c r="BI219">
        <v>2</v>
      </c>
      <c r="BJ219">
        <v>94.5</v>
      </c>
      <c r="BL219" s="30">
        <v>0</v>
      </c>
      <c r="BM219" t="s">
        <v>379</v>
      </c>
      <c r="BN219" t="s">
        <v>785</v>
      </c>
      <c r="BP219" s="30">
        <v>31.7</v>
      </c>
      <c r="BQ219">
        <v>4</v>
      </c>
      <c r="BR219">
        <v>16</v>
      </c>
      <c r="BS219">
        <v>608</v>
      </c>
      <c r="BT219" s="1">
        <f>608/2112*1000</f>
        <v>287.87878787878788</v>
      </c>
      <c r="BU219" s="75"/>
      <c r="BV219" s="1"/>
    </row>
    <row r="220" spans="1:74">
      <c r="A220">
        <v>215</v>
      </c>
      <c r="B220" s="1">
        <v>1</v>
      </c>
      <c r="G220" t="s">
        <v>84</v>
      </c>
      <c r="H220" s="1" t="s">
        <v>285</v>
      </c>
      <c r="I220">
        <v>51.9</v>
      </c>
      <c r="J220">
        <v>51.9</v>
      </c>
      <c r="K220">
        <v>51.9</v>
      </c>
      <c r="L220">
        <v>2000</v>
      </c>
      <c r="M220">
        <v>2000</v>
      </c>
      <c r="N220">
        <v>0</v>
      </c>
      <c r="O220">
        <f>0.3*I220*320*320/1000</f>
        <v>1594.3679999999999</v>
      </c>
      <c r="P220">
        <v>220</v>
      </c>
      <c r="Q220">
        <v>300</v>
      </c>
      <c r="R220" t="s">
        <v>39</v>
      </c>
      <c r="S220" s="30" t="s">
        <v>284</v>
      </c>
      <c r="T220">
        <v>15.9</v>
      </c>
      <c r="U220">
        <v>199</v>
      </c>
      <c r="V220" s="1">
        <v>818</v>
      </c>
      <c r="W220" s="1">
        <f>818/3971*1000</f>
        <v>205.99345253084866</v>
      </c>
      <c r="X220" t="s">
        <v>40</v>
      </c>
      <c r="Y220">
        <v>75</v>
      </c>
      <c r="Z220">
        <v>4</v>
      </c>
      <c r="AA220">
        <v>6.35</v>
      </c>
      <c r="AB220">
        <v>31.7</v>
      </c>
      <c r="AC220">
        <v>748</v>
      </c>
      <c r="AD220">
        <f>748/3631*1000</f>
        <v>206.00385568713853</v>
      </c>
      <c r="AE220">
        <v>4</v>
      </c>
      <c r="AF220">
        <v>30</v>
      </c>
      <c r="AG220">
        <v>2</v>
      </c>
      <c r="AH220">
        <v>35</v>
      </c>
      <c r="AI220">
        <v>4</v>
      </c>
      <c r="AJ220">
        <v>30</v>
      </c>
      <c r="AK220">
        <v>2</v>
      </c>
      <c r="AL220">
        <v>35</v>
      </c>
      <c r="AN220">
        <v>320</v>
      </c>
      <c r="AO220">
        <v>320</v>
      </c>
      <c r="AP220" t="s">
        <v>39</v>
      </c>
      <c r="AQ220" s="30" t="s">
        <v>284</v>
      </c>
      <c r="AR220">
        <v>15.9</v>
      </c>
      <c r="AS220">
        <v>199</v>
      </c>
      <c r="AT220">
        <v>818</v>
      </c>
      <c r="AU220">
        <f>818/3971*1000</f>
        <v>205.99345253084866</v>
      </c>
      <c r="AV220" t="s">
        <v>40</v>
      </c>
      <c r="AW220">
        <v>50</v>
      </c>
      <c r="AX220">
        <v>4</v>
      </c>
      <c r="AY220">
        <v>6.35</v>
      </c>
      <c r="AZ220">
        <v>31.7</v>
      </c>
      <c r="BA220">
        <v>748</v>
      </c>
      <c r="BB220">
        <f>748/3631*1000</f>
        <v>206.00385568713853</v>
      </c>
      <c r="BC220">
        <v>4</v>
      </c>
      <c r="BD220">
        <v>25</v>
      </c>
      <c r="BE220">
        <v>2</v>
      </c>
      <c r="BF220">
        <v>112</v>
      </c>
      <c r="BG220">
        <v>4</v>
      </c>
      <c r="BH220">
        <v>25</v>
      </c>
      <c r="BI220">
        <v>2</v>
      </c>
      <c r="BJ220">
        <v>112</v>
      </c>
      <c r="BL220" s="30">
        <v>0</v>
      </c>
      <c r="BM220" t="s">
        <v>379</v>
      </c>
      <c r="BN220" t="s">
        <v>785</v>
      </c>
      <c r="BP220" s="30">
        <v>31.7</v>
      </c>
      <c r="BQ220">
        <v>4</v>
      </c>
      <c r="BR220">
        <v>16</v>
      </c>
      <c r="BS220">
        <v>608</v>
      </c>
      <c r="BT220" s="1">
        <f>608/2112*1000</f>
        <v>287.87878787878788</v>
      </c>
      <c r="BU220" s="75"/>
      <c r="BV220" s="1"/>
    </row>
    <row r="221" spans="1:74">
      <c r="A221">
        <v>216</v>
      </c>
      <c r="B221" s="1">
        <v>1</v>
      </c>
      <c r="C221" s="17">
        <v>66</v>
      </c>
      <c r="D221" s="17" t="s">
        <v>89</v>
      </c>
      <c r="E221" s="17">
        <v>2002</v>
      </c>
      <c r="F221" s="17" t="s">
        <v>27</v>
      </c>
      <c r="G221" s="17" t="s">
        <v>160</v>
      </c>
      <c r="H221" s="7" t="s">
        <v>286</v>
      </c>
      <c r="I221" s="17">
        <v>75.400000000000006</v>
      </c>
      <c r="J221" s="17">
        <v>82.6</v>
      </c>
      <c r="K221" s="17">
        <v>82.6</v>
      </c>
      <c r="L221" s="17">
        <v>1800</v>
      </c>
      <c r="M221" s="17">
        <v>1260</v>
      </c>
      <c r="N221" s="17">
        <v>0</v>
      </c>
      <c r="O221" s="17">
        <v>1920</v>
      </c>
      <c r="P221" s="17">
        <v>280</v>
      </c>
      <c r="Q221" s="17">
        <v>440</v>
      </c>
      <c r="R221" s="17" t="s">
        <v>39</v>
      </c>
      <c r="S221" s="31" t="s">
        <v>256</v>
      </c>
      <c r="T221" s="17">
        <v>15.9</v>
      </c>
      <c r="U221" s="17">
        <v>199</v>
      </c>
      <c r="V221" s="7">
        <v>536.29999999999995</v>
      </c>
      <c r="W221" s="7">
        <v>185</v>
      </c>
      <c r="X221" s="17" t="s">
        <v>287</v>
      </c>
      <c r="Y221" s="17">
        <v>60</v>
      </c>
      <c r="Z221" s="17">
        <v>4</v>
      </c>
      <c r="AA221" s="17">
        <v>6.35</v>
      </c>
      <c r="AB221" s="17">
        <v>32</v>
      </c>
      <c r="AC221" s="17">
        <v>708</v>
      </c>
      <c r="AD221" s="17">
        <v>162</v>
      </c>
      <c r="AE221" s="17">
        <v>5</v>
      </c>
      <c r="AF221" s="17">
        <v>54</v>
      </c>
      <c r="AG221" s="17">
        <v>4</v>
      </c>
      <c r="AH221" s="17">
        <v>44</v>
      </c>
      <c r="AI221" s="17">
        <v>5</v>
      </c>
      <c r="AJ221" s="17">
        <v>36</v>
      </c>
      <c r="AK221" s="17">
        <v>4</v>
      </c>
      <c r="AL221" s="17">
        <v>44</v>
      </c>
      <c r="AM221" s="31"/>
      <c r="AN221" s="17">
        <v>400</v>
      </c>
      <c r="AO221" s="17">
        <v>400</v>
      </c>
      <c r="AP221" s="17" t="s">
        <v>57</v>
      </c>
      <c r="AQ221" s="31" t="s">
        <v>256</v>
      </c>
      <c r="AR221" s="17">
        <v>19.100000000000001</v>
      </c>
      <c r="AS221" s="17">
        <v>287</v>
      </c>
      <c r="AT221" s="17">
        <v>542.4</v>
      </c>
      <c r="AU221" s="17">
        <v>183</v>
      </c>
      <c r="AV221" s="17" t="s">
        <v>287</v>
      </c>
      <c r="AW221" s="17">
        <v>50</v>
      </c>
      <c r="AX221" s="17">
        <v>4</v>
      </c>
      <c r="AY221" s="17">
        <v>6.35</v>
      </c>
      <c r="AZ221" s="17">
        <v>32</v>
      </c>
      <c r="BA221" s="17">
        <v>708</v>
      </c>
      <c r="BB221" s="17">
        <v>162</v>
      </c>
      <c r="BC221" s="17">
        <v>6</v>
      </c>
      <c r="BD221" s="17">
        <v>38</v>
      </c>
      <c r="BE221" s="17">
        <v>4</v>
      </c>
      <c r="BF221" s="17">
        <v>89</v>
      </c>
      <c r="BG221" s="17">
        <v>6</v>
      </c>
      <c r="BH221" s="17">
        <v>38</v>
      </c>
      <c r="BI221" s="17">
        <v>4</v>
      </c>
      <c r="BJ221" s="17">
        <v>89</v>
      </c>
      <c r="BK221" s="31"/>
      <c r="BL221" s="31">
        <v>4</v>
      </c>
      <c r="BM221" s="17" t="s">
        <v>166</v>
      </c>
      <c r="BN221" s="17" t="s">
        <v>785</v>
      </c>
      <c r="BO221" s="31"/>
      <c r="BP221" s="31">
        <v>31.7</v>
      </c>
      <c r="BQ221" s="17">
        <v>7</v>
      </c>
      <c r="BR221" s="17">
        <v>14</v>
      </c>
      <c r="BS221" s="17">
        <v>346</v>
      </c>
      <c r="BT221" s="17">
        <v>168</v>
      </c>
      <c r="BU221" s="86">
        <v>0.36</v>
      </c>
      <c r="BV221" s="17"/>
    </row>
    <row r="222" spans="1:74">
      <c r="A222">
        <v>217</v>
      </c>
      <c r="B222" s="1">
        <v>1</v>
      </c>
      <c r="G222" t="s">
        <v>84</v>
      </c>
      <c r="H222" s="1" t="s">
        <v>288</v>
      </c>
      <c r="I222">
        <v>75.599999999999994</v>
      </c>
      <c r="J222">
        <v>75.599999999999994</v>
      </c>
      <c r="K222">
        <v>75.599999999999994</v>
      </c>
      <c r="L222">
        <v>1800</v>
      </c>
      <c r="M222">
        <v>1260</v>
      </c>
      <c r="N222">
        <v>0</v>
      </c>
      <c r="O222">
        <v>1470</v>
      </c>
      <c r="P222">
        <v>280</v>
      </c>
      <c r="Q222">
        <v>440</v>
      </c>
      <c r="R222" t="s">
        <v>57</v>
      </c>
      <c r="S222" s="30" t="s">
        <v>256</v>
      </c>
      <c r="T222">
        <v>19.100000000000001</v>
      </c>
      <c r="U222">
        <v>287</v>
      </c>
      <c r="V222" s="1">
        <v>542.4</v>
      </c>
      <c r="W222" s="1">
        <v>183</v>
      </c>
      <c r="X222" t="s">
        <v>287</v>
      </c>
      <c r="Y222">
        <v>60</v>
      </c>
      <c r="Z222">
        <v>4</v>
      </c>
      <c r="AA222">
        <v>6.35</v>
      </c>
      <c r="AB222">
        <v>32</v>
      </c>
      <c r="AC222">
        <v>708</v>
      </c>
      <c r="AD222">
        <v>162</v>
      </c>
      <c r="AE222">
        <v>5</v>
      </c>
      <c r="AF222">
        <v>56</v>
      </c>
      <c r="AG222">
        <v>5</v>
      </c>
      <c r="AH222">
        <v>44</v>
      </c>
      <c r="AI222">
        <v>5</v>
      </c>
      <c r="AJ222">
        <v>38</v>
      </c>
      <c r="AK222">
        <v>5</v>
      </c>
      <c r="AL222">
        <v>44</v>
      </c>
      <c r="AN222">
        <v>350</v>
      </c>
      <c r="AO222">
        <v>350</v>
      </c>
      <c r="AP222" t="s">
        <v>57</v>
      </c>
      <c r="AQ222" s="30" t="s">
        <v>256</v>
      </c>
      <c r="AR222">
        <v>19.100000000000001</v>
      </c>
      <c r="AS222">
        <v>287</v>
      </c>
      <c r="AT222">
        <v>542.4</v>
      </c>
      <c r="AU222">
        <v>183</v>
      </c>
      <c r="AV222" t="s">
        <v>287</v>
      </c>
      <c r="AW222">
        <v>50</v>
      </c>
      <c r="AX222">
        <v>4</v>
      </c>
      <c r="AY222">
        <v>6.35</v>
      </c>
      <c r="AZ222">
        <v>32</v>
      </c>
      <c r="BA222">
        <v>708</v>
      </c>
      <c r="BB222">
        <v>162</v>
      </c>
      <c r="BC222">
        <v>6</v>
      </c>
      <c r="BD222">
        <v>38</v>
      </c>
      <c r="BE222">
        <v>4</v>
      </c>
      <c r="BF222">
        <v>89</v>
      </c>
      <c r="BG222">
        <v>6</v>
      </c>
      <c r="BH222">
        <v>38</v>
      </c>
      <c r="BI222">
        <v>4</v>
      </c>
      <c r="BJ222">
        <v>89</v>
      </c>
      <c r="BL222" s="30">
        <v>4</v>
      </c>
      <c r="BM222" t="s">
        <v>166</v>
      </c>
      <c r="BN222" t="s">
        <v>785</v>
      </c>
      <c r="BP222" s="30">
        <v>31.7</v>
      </c>
      <c r="BQ222">
        <v>7</v>
      </c>
      <c r="BR222">
        <v>14</v>
      </c>
      <c r="BS222">
        <v>346</v>
      </c>
      <c r="BT222">
        <v>168</v>
      </c>
      <c r="BU222" s="23">
        <v>0.42299999999999999</v>
      </c>
    </row>
    <row r="223" spans="1:74" s="3" customFormat="1">
      <c r="A223">
        <v>218</v>
      </c>
      <c r="B223" s="1">
        <v>1</v>
      </c>
      <c r="C223" s="3">
        <v>67</v>
      </c>
      <c r="D223" s="3" t="s">
        <v>78</v>
      </c>
      <c r="E223" s="3">
        <v>2003</v>
      </c>
      <c r="F223" s="3" t="s">
        <v>33</v>
      </c>
      <c r="G223" s="3" t="s">
        <v>84</v>
      </c>
      <c r="H223" s="4" t="s">
        <v>289</v>
      </c>
      <c r="I223" s="3">
        <v>17.100000000000001</v>
      </c>
      <c r="J223" s="3">
        <v>17.100000000000001</v>
      </c>
      <c r="K223" s="3">
        <v>17.100000000000001</v>
      </c>
      <c r="L223" s="3">
        <v>2450</v>
      </c>
      <c r="M223" s="3">
        <v>1600</v>
      </c>
      <c r="N223" s="3">
        <v>0</v>
      </c>
      <c r="O223" s="3">
        <v>0</v>
      </c>
      <c r="P223" s="3">
        <v>300</v>
      </c>
      <c r="Q223" s="3">
        <v>400</v>
      </c>
      <c r="R223" s="3" t="s">
        <v>213</v>
      </c>
      <c r="S223" s="9"/>
      <c r="T223" s="3">
        <v>25.4</v>
      </c>
      <c r="U223" s="3">
        <v>507</v>
      </c>
      <c r="V223" s="4">
        <v>520</v>
      </c>
      <c r="W223" s="4">
        <v>192</v>
      </c>
      <c r="X223" s="3" t="s">
        <v>153</v>
      </c>
      <c r="Y223" s="3">
        <v>60</v>
      </c>
      <c r="Z223" s="3">
        <v>4</v>
      </c>
      <c r="AA223" s="3">
        <v>9.5299999999999994</v>
      </c>
      <c r="AB223" s="3">
        <v>71.3</v>
      </c>
      <c r="AC223" s="3">
        <v>424</v>
      </c>
      <c r="AD223" s="3">
        <v>166</v>
      </c>
      <c r="AE223" s="3">
        <v>4</v>
      </c>
      <c r="AF223" s="3">
        <v>65</v>
      </c>
      <c r="AG223" s="3">
        <v>0</v>
      </c>
      <c r="AH223" s="3">
        <v>0</v>
      </c>
      <c r="AI223" s="3">
        <v>4</v>
      </c>
      <c r="AJ223" s="3">
        <v>65</v>
      </c>
      <c r="AK223" s="3">
        <v>0</v>
      </c>
      <c r="AL223" s="3">
        <v>0</v>
      </c>
      <c r="AM223" s="9"/>
      <c r="AN223" s="3">
        <v>300</v>
      </c>
      <c r="AO223" s="3">
        <v>350</v>
      </c>
      <c r="AP223" s="3" t="s">
        <v>162</v>
      </c>
      <c r="AQ223" s="9"/>
      <c r="AR223" s="3">
        <v>22.2</v>
      </c>
      <c r="AS223" s="3">
        <v>387</v>
      </c>
      <c r="AT223" s="3">
        <v>520</v>
      </c>
      <c r="AU223" s="3">
        <v>193</v>
      </c>
      <c r="AV223" s="3" t="s">
        <v>153</v>
      </c>
      <c r="AW223" s="3">
        <v>60</v>
      </c>
      <c r="AX223" s="3">
        <v>4</v>
      </c>
      <c r="AY223" s="3">
        <v>9.5299999999999994</v>
      </c>
      <c r="AZ223" s="3">
        <v>71.3</v>
      </c>
      <c r="BA223" s="3">
        <v>424</v>
      </c>
      <c r="BB223" s="3">
        <v>166</v>
      </c>
      <c r="BC223" s="3">
        <v>5</v>
      </c>
      <c r="BD223" s="3">
        <v>40</v>
      </c>
      <c r="BE223" s="3">
        <v>2</v>
      </c>
      <c r="BF223" s="3">
        <v>67.5</v>
      </c>
      <c r="BG223" s="3">
        <v>5</v>
      </c>
      <c r="BH223" s="3">
        <v>40</v>
      </c>
      <c r="BI223" s="3">
        <v>2</v>
      </c>
      <c r="BJ223" s="3">
        <v>67.5</v>
      </c>
      <c r="BK223" s="9"/>
      <c r="BL223" s="9">
        <v>2</v>
      </c>
      <c r="BM223" s="3" t="s">
        <v>166</v>
      </c>
      <c r="BN223" s="3" t="s">
        <v>729</v>
      </c>
      <c r="BO223" s="9"/>
      <c r="BP223" s="9">
        <v>31.7</v>
      </c>
      <c r="BQ223" s="3">
        <v>2</v>
      </c>
      <c r="BR223" s="3">
        <v>4</v>
      </c>
      <c r="BS223" s="3">
        <v>344</v>
      </c>
      <c r="BT223" s="3">
        <v>186</v>
      </c>
      <c r="BU223" s="84"/>
      <c r="BV223" s="3" t="s">
        <v>801</v>
      </c>
    </row>
    <row r="224" spans="1:74">
      <c r="A224">
        <v>219</v>
      </c>
      <c r="B224" s="1">
        <v>1</v>
      </c>
      <c r="C224" s="2">
        <v>68</v>
      </c>
      <c r="D224" t="s">
        <v>90</v>
      </c>
      <c r="E224">
        <v>2003</v>
      </c>
      <c r="F224" t="s">
        <v>33</v>
      </c>
      <c r="G224" s="7" t="s">
        <v>741</v>
      </c>
      <c r="H224" s="1" t="s">
        <v>290</v>
      </c>
      <c r="I224" s="7">
        <v>25.9</v>
      </c>
      <c r="J224" s="7">
        <v>25.9</v>
      </c>
      <c r="K224" s="7">
        <v>25.9</v>
      </c>
      <c r="L224" s="7">
        <v>3600</v>
      </c>
      <c r="M224" s="7">
        <v>2000</v>
      </c>
      <c r="N224" s="7">
        <v>0</v>
      </c>
      <c r="O224">
        <f>5.9*450*400/1000</f>
        <v>1062</v>
      </c>
      <c r="P224" s="7">
        <v>350</v>
      </c>
      <c r="Q224" s="7">
        <v>500</v>
      </c>
      <c r="R224" s="7" t="s">
        <v>701</v>
      </c>
      <c r="T224" s="7">
        <v>25.4</v>
      </c>
      <c r="U224" s="7">
        <v>507</v>
      </c>
      <c r="V224" s="7">
        <v>399</v>
      </c>
      <c r="W224" s="7">
        <v>205</v>
      </c>
      <c r="X224" s="34" t="s">
        <v>703</v>
      </c>
      <c r="Y224" s="7">
        <v>100</v>
      </c>
      <c r="Z224" s="34">
        <v>4</v>
      </c>
      <c r="AA224" s="7">
        <v>12.7</v>
      </c>
      <c r="AB224" s="36">
        <v>127</v>
      </c>
      <c r="AC224" s="7">
        <v>378</v>
      </c>
      <c r="AD224" s="34">
        <v>205</v>
      </c>
      <c r="AE224" s="22">
        <v>2</v>
      </c>
      <c r="AF224" s="22">
        <v>55</v>
      </c>
      <c r="AG224" s="22">
        <v>2</v>
      </c>
      <c r="AH224" s="22">
        <v>69</v>
      </c>
      <c r="AI224" s="22">
        <v>3</v>
      </c>
      <c r="AJ224" s="22">
        <v>55</v>
      </c>
      <c r="AK224" s="22">
        <v>2</v>
      </c>
      <c r="AL224" s="22">
        <v>69</v>
      </c>
      <c r="AN224" s="36">
        <v>450</v>
      </c>
      <c r="AO224" s="36">
        <v>400</v>
      </c>
      <c r="AP224" s="7" t="s">
        <v>704</v>
      </c>
      <c r="AR224" s="7">
        <v>25.4</v>
      </c>
      <c r="AS224" s="7">
        <v>507</v>
      </c>
      <c r="AT224" s="7">
        <v>399</v>
      </c>
      <c r="AU224" s="34">
        <v>205</v>
      </c>
      <c r="AV224" s="7" t="s">
        <v>702</v>
      </c>
      <c r="AW224" s="7">
        <v>100</v>
      </c>
      <c r="AX224" s="7">
        <v>2</v>
      </c>
      <c r="AY224" s="7">
        <v>9.5299999999999994</v>
      </c>
      <c r="AZ224" s="7">
        <v>71.3</v>
      </c>
      <c r="BA224" s="7">
        <v>351</v>
      </c>
      <c r="BB224" s="34">
        <v>205</v>
      </c>
      <c r="BC224" s="23">
        <v>4</v>
      </c>
      <c r="BD224" s="7">
        <v>58</v>
      </c>
      <c r="BE224" s="35">
        <v>0</v>
      </c>
      <c r="BF224" s="35">
        <v>0</v>
      </c>
      <c r="BG224" s="7">
        <v>4</v>
      </c>
      <c r="BH224" s="7">
        <v>58</v>
      </c>
      <c r="BI224" s="7">
        <v>0</v>
      </c>
      <c r="BJ224" s="7">
        <v>0</v>
      </c>
      <c r="BL224" s="2">
        <v>2</v>
      </c>
      <c r="BM224" s="7" t="s">
        <v>705</v>
      </c>
      <c r="BN224" t="s">
        <v>702</v>
      </c>
      <c r="BP224" s="30">
        <v>71.3</v>
      </c>
      <c r="BQ224" s="34">
        <v>3</v>
      </c>
      <c r="BR224" s="34">
        <v>6</v>
      </c>
      <c r="BS224" s="7">
        <v>351</v>
      </c>
      <c r="BT224" s="34">
        <v>205</v>
      </c>
      <c r="BU224" s="48"/>
    </row>
    <row r="225" spans="1:74" s="5" customFormat="1">
      <c r="A225">
        <v>220</v>
      </c>
      <c r="B225" s="1">
        <v>1</v>
      </c>
      <c r="G225" s="5" t="s">
        <v>84</v>
      </c>
      <c r="H225" s="6" t="s">
        <v>291</v>
      </c>
      <c r="I225" s="5">
        <v>30.7</v>
      </c>
      <c r="J225" s="5">
        <v>30.7</v>
      </c>
      <c r="K225" s="5">
        <v>30.7</v>
      </c>
      <c r="L225" s="5">
        <v>3600</v>
      </c>
      <c r="M225" s="5">
        <v>2000</v>
      </c>
      <c r="N225" s="5">
        <v>0</v>
      </c>
      <c r="O225" s="5">
        <f>5.9*400*450/1000</f>
        <v>1062</v>
      </c>
      <c r="P225" s="5">
        <v>350</v>
      </c>
      <c r="Q225" s="5">
        <v>500</v>
      </c>
      <c r="R225" s="5" t="s">
        <v>213</v>
      </c>
      <c r="S225" s="8"/>
      <c r="T225" s="5">
        <v>25.4</v>
      </c>
      <c r="U225" s="5">
        <v>507</v>
      </c>
      <c r="V225" s="6">
        <v>399</v>
      </c>
      <c r="W225" s="6">
        <v>187</v>
      </c>
      <c r="X225" s="5" t="s">
        <v>62</v>
      </c>
      <c r="Y225" s="5">
        <v>100</v>
      </c>
      <c r="Z225" s="5">
        <v>2</v>
      </c>
      <c r="AA225" s="5">
        <v>12.7</v>
      </c>
      <c r="AB225" s="5">
        <v>127</v>
      </c>
      <c r="AC225" s="5">
        <v>378</v>
      </c>
      <c r="AE225" s="5">
        <v>2</v>
      </c>
      <c r="AF225" s="5">
        <v>55</v>
      </c>
      <c r="AG225" s="5">
        <v>2</v>
      </c>
      <c r="AH225" s="5">
        <v>69</v>
      </c>
      <c r="AI225" s="5">
        <v>2</v>
      </c>
      <c r="AJ225" s="5">
        <v>55</v>
      </c>
      <c r="AK225" s="5">
        <v>2</v>
      </c>
      <c r="AL225" s="5">
        <v>69</v>
      </c>
      <c r="AM225" s="8"/>
      <c r="AN225" s="5">
        <v>450</v>
      </c>
      <c r="AO225" s="5">
        <v>400</v>
      </c>
      <c r="AP225" s="5" t="s">
        <v>213</v>
      </c>
      <c r="AQ225" s="8"/>
      <c r="AR225" s="5">
        <v>25.4</v>
      </c>
      <c r="AS225" s="5">
        <v>507</v>
      </c>
      <c r="AT225" s="5">
        <v>399</v>
      </c>
      <c r="AU225" s="5">
        <v>187</v>
      </c>
      <c r="AV225" s="5" t="s">
        <v>153</v>
      </c>
      <c r="AW225" s="5">
        <v>100</v>
      </c>
      <c r="AX225" s="5">
        <v>2</v>
      </c>
      <c r="AY225" s="5">
        <v>9.5299999999999994</v>
      </c>
      <c r="AZ225" s="5">
        <v>71.3</v>
      </c>
      <c r="BA225" s="5">
        <v>351</v>
      </c>
      <c r="BC225" s="49">
        <v>3</v>
      </c>
      <c r="BD225" s="49">
        <v>53.5</v>
      </c>
      <c r="BE225" s="49">
        <v>2</v>
      </c>
      <c r="BF225" s="49">
        <v>114.3</v>
      </c>
      <c r="BG225" s="49">
        <v>3</v>
      </c>
      <c r="BH225" s="49">
        <v>53.5</v>
      </c>
      <c r="BI225" s="49">
        <v>2</v>
      </c>
      <c r="BJ225" s="49">
        <v>114.3</v>
      </c>
      <c r="BK225" s="8"/>
      <c r="BL225" s="8">
        <v>0</v>
      </c>
      <c r="BM225" s="5" t="s">
        <v>166</v>
      </c>
      <c r="BN225" s="5" t="s">
        <v>787</v>
      </c>
      <c r="BO225" s="8"/>
      <c r="BP225" s="8">
        <v>71.3</v>
      </c>
      <c r="BQ225" s="5">
        <v>3</v>
      </c>
      <c r="BR225" s="5">
        <v>6</v>
      </c>
      <c r="BS225" s="5">
        <v>351</v>
      </c>
      <c r="BT225" s="5">
        <v>205</v>
      </c>
      <c r="BU225" s="83"/>
    </row>
    <row r="226" spans="1:74">
      <c r="A226">
        <v>221</v>
      </c>
      <c r="B226" s="1">
        <v>1</v>
      </c>
      <c r="C226">
        <v>69</v>
      </c>
      <c r="D226" t="s">
        <v>91</v>
      </c>
      <c r="E226">
        <v>2003</v>
      </c>
      <c r="F226" t="s">
        <v>33</v>
      </c>
      <c r="G226" t="s">
        <v>160</v>
      </c>
      <c r="H226" s="1" t="s">
        <v>292</v>
      </c>
      <c r="I226">
        <v>27</v>
      </c>
      <c r="J226">
        <v>27</v>
      </c>
      <c r="K226">
        <v>27</v>
      </c>
      <c r="L226">
        <v>2700</v>
      </c>
      <c r="M226">
        <v>1470</v>
      </c>
      <c r="N226">
        <v>0</v>
      </c>
      <c r="O226">
        <v>0</v>
      </c>
      <c r="P226">
        <v>180</v>
      </c>
      <c r="Q226">
        <v>300</v>
      </c>
      <c r="R226" t="s">
        <v>153</v>
      </c>
      <c r="S226" s="30" t="s">
        <v>76</v>
      </c>
      <c r="T226">
        <v>9.5299999999999994</v>
      </c>
      <c r="U226">
        <v>71.3</v>
      </c>
      <c r="V226" s="1">
        <v>387</v>
      </c>
      <c r="W226" s="1">
        <v>193</v>
      </c>
      <c r="X226" t="s">
        <v>40</v>
      </c>
      <c r="Y226">
        <v>50</v>
      </c>
      <c r="Z226">
        <v>2</v>
      </c>
      <c r="AA226">
        <v>6.35</v>
      </c>
      <c r="AB226">
        <v>31.7</v>
      </c>
      <c r="AC226">
        <v>364</v>
      </c>
      <c r="AD226">
        <v>182</v>
      </c>
      <c r="AE226">
        <v>5</v>
      </c>
      <c r="AF226">
        <v>22</v>
      </c>
      <c r="AG226">
        <v>5</v>
      </c>
      <c r="AH226">
        <v>38</v>
      </c>
      <c r="AI226">
        <v>5</v>
      </c>
      <c r="AJ226">
        <v>22</v>
      </c>
      <c r="AK226">
        <v>5</v>
      </c>
      <c r="AL226">
        <v>38</v>
      </c>
      <c r="AN226">
        <v>320</v>
      </c>
      <c r="AO226">
        <v>280</v>
      </c>
      <c r="AP226" t="s">
        <v>62</v>
      </c>
      <c r="AQ226" s="30" t="s">
        <v>76</v>
      </c>
      <c r="AR226">
        <v>12.7</v>
      </c>
      <c r="AS226">
        <v>127</v>
      </c>
      <c r="AT226">
        <v>345</v>
      </c>
      <c r="AU226">
        <v>194</v>
      </c>
      <c r="AV226" t="s">
        <v>40</v>
      </c>
      <c r="AW226">
        <v>50</v>
      </c>
      <c r="AX226">
        <v>2</v>
      </c>
      <c r="AY226">
        <v>6.35</v>
      </c>
      <c r="AZ226">
        <v>31.7</v>
      </c>
      <c r="BA226">
        <v>364</v>
      </c>
      <c r="BB226">
        <v>182</v>
      </c>
      <c r="BC226">
        <v>4</v>
      </c>
      <c r="BD226">
        <v>28</v>
      </c>
      <c r="BE226">
        <v>2</v>
      </c>
      <c r="BF226">
        <v>56</v>
      </c>
      <c r="BG226">
        <v>4</v>
      </c>
      <c r="BH226">
        <v>28</v>
      </c>
      <c r="BI226">
        <v>2</v>
      </c>
      <c r="BJ226">
        <v>56</v>
      </c>
      <c r="BL226" s="30">
        <v>4</v>
      </c>
      <c r="BM226" t="s">
        <v>166</v>
      </c>
      <c r="BN226" s="7" t="s">
        <v>952</v>
      </c>
      <c r="BP226" s="30">
        <v>31.7</v>
      </c>
      <c r="BQ226">
        <v>3</v>
      </c>
      <c r="BR226">
        <v>6</v>
      </c>
      <c r="BS226">
        <v>364</v>
      </c>
      <c r="BT226">
        <v>182</v>
      </c>
      <c r="BV226" t="s">
        <v>801</v>
      </c>
    </row>
    <row r="227" spans="1:74">
      <c r="A227">
        <v>222</v>
      </c>
      <c r="B227" s="1">
        <v>2</v>
      </c>
      <c r="C227">
        <v>70</v>
      </c>
      <c r="D227" t="s">
        <v>92</v>
      </c>
      <c r="E227">
        <v>2003</v>
      </c>
      <c r="F227" t="s">
        <v>27</v>
      </c>
      <c r="G227" t="s">
        <v>158</v>
      </c>
      <c r="H227" s="51" t="s">
        <v>293</v>
      </c>
      <c r="I227">
        <f t="shared" ref="I227:J232" si="111">339*9.8/100</f>
        <v>33.222000000000001</v>
      </c>
      <c r="J227">
        <f t="shared" si="111"/>
        <v>33.222000000000001</v>
      </c>
      <c r="K227">
        <f t="shared" ref="K227:K234" si="112">J227</f>
        <v>33.222000000000001</v>
      </c>
      <c r="L227">
        <v>2000</v>
      </c>
      <c r="M227">
        <v>1400</v>
      </c>
      <c r="N227">
        <v>0</v>
      </c>
      <c r="O227">
        <v>294</v>
      </c>
      <c r="P227">
        <v>180</v>
      </c>
      <c r="Q227">
        <v>150</v>
      </c>
      <c r="R227" t="s">
        <v>62</v>
      </c>
      <c r="T227">
        <v>12.7</v>
      </c>
      <c r="U227">
        <v>127</v>
      </c>
      <c r="V227" s="1">
        <f t="shared" ref="V227:V232" si="113">7167*9.8/100</f>
        <v>702.3660000000001</v>
      </c>
      <c r="W227" s="1">
        <f t="shared" ref="W227:W232" si="114">1.963*9.8*10</f>
        <v>192.37400000000002</v>
      </c>
      <c r="X227" t="s">
        <v>40</v>
      </c>
      <c r="Y227">
        <v>80</v>
      </c>
      <c r="Z227">
        <v>2</v>
      </c>
      <c r="AA227">
        <v>6.35</v>
      </c>
      <c r="AB227">
        <v>31.7</v>
      </c>
      <c r="AC227">
        <f t="shared" ref="AC227:AC232" si="115">4443*9.8/100</f>
        <v>435.41399999999999</v>
      </c>
      <c r="AD227">
        <f t="shared" ref="AD227:AD232" si="116">1.91*9.8*10</f>
        <v>187.18</v>
      </c>
      <c r="AE227">
        <v>3</v>
      </c>
      <c r="AF227">
        <v>40</v>
      </c>
      <c r="AG227">
        <v>0</v>
      </c>
      <c r="AH227">
        <v>0</v>
      </c>
      <c r="AI227">
        <v>3</v>
      </c>
      <c r="AJ227">
        <v>40</v>
      </c>
      <c r="AK227">
        <v>0</v>
      </c>
      <c r="AL227">
        <v>0</v>
      </c>
      <c r="AM227" s="30">
        <v>35</v>
      </c>
      <c r="AN227">
        <v>250</v>
      </c>
      <c r="AO227">
        <v>250</v>
      </c>
      <c r="AP227" t="s">
        <v>39</v>
      </c>
      <c r="AR227">
        <v>15.9</v>
      </c>
      <c r="AS227">
        <v>199</v>
      </c>
      <c r="AT227">
        <f t="shared" ref="AT227:AT232" si="117">4034*9.8/100</f>
        <v>395.33200000000005</v>
      </c>
      <c r="AU227">
        <f t="shared" ref="AU227:AU232" si="118">1.878*9.8*10</f>
        <v>184.04399999999998</v>
      </c>
      <c r="AV227" t="s">
        <v>40</v>
      </c>
      <c r="AW227">
        <v>50</v>
      </c>
      <c r="AX227">
        <v>2</v>
      </c>
      <c r="AY227">
        <v>6.35</v>
      </c>
      <c r="AZ227">
        <v>31.7</v>
      </c>
      <c r="BA227">
        <f t="shared" ref="BA227:BA232" si="119">AC227</f>
        <v>435.41399999999999</v>
      </c>
      <c r="BB227">
        <f t="shared" ref="BB227:BB232" si="120">1.91*9.8*10</f>
        <v>187.18</v>
      </c>
      <c r="BC227">
        <v>4</v>
      </c>
      <c r="BD227">
        <v>40</v>
      </c>
      <c r="BE227">
        <v>2</v>
      </c>
      <c r="BF227">
        <v>55</v>
      </c>
      <c r="BG227">
        <v>4</v>
      </c>
      <c r="BH227">
        <v>40</v>
      </c>
      <c r="BI227">
        <v>2</v>
      </c>
      <c r="BJ227">
        <v>55</v>
      </c>
      <c r="BK227" s="30">
        <v>40</v>
      </c>
      <c r="BL227" s="30">
        <v>0</v>
      </c>
      <c r="BM227" t="s">
        <v>166</v>
      </c>
      <c r="BN227" t="s">
        <v>785</v>
      </c>
      <c r="BQ227">
        <v>2</v>
      </c>
      <c r="BR227">
        <v>4</v>
      </c>
      <c r="BS227">
        <f t="shared" ref="BS227:BS232" si="121">AZ227</f>
        <v>31.7</v>
      </c>
      <c r="BT227">
        <f t="shared" ref="BT227:BT232" si="122">1.91*9.8*10</f>
        <v>187.18</v>
      </c>
      <c r="BU227" s="23">
        <v>0.37</v>
      </c>
    </row>
    <row r="228" spans="1:74">
      <c r="A228">
        <v>223</v>
      </c>
      <c r="B228" s="1">
        <v>2</v>
      </c>
      <c r="G228" t="s">
        <v>160</v>
      </c>
      <c r="H228" s="51" t="s">
        <v>294</v>
      </c>
      <c r="I228">
        <f t="shared" si="111"/>
        <v>33.222000000000001</v>
      </c>
      <c r="J228">
        <f t="shared" si="111"/>
        <v>33.222000000000001</v>
      </c>
      <c r="K228">
        <f t="shared" si="112"/>
        <v>33.222000000000001</v>
      </c>
      <c r="L228">
        <v>2000</v>
      </c>
      <c r="M228">
        <v>1400</v>
      </c>
      <c r="N228">
        <v>0</v>
      </c>
      <c r="O228">
        <v>294</v>
      </c>
      <c r="P228">
        <v>180</v>
      </c>
      <c r="Q228">
        <v>250</v>
      </c>
      <c r="R228" t="s">
        <v>62</v>
      </c>
      <c r="T228">
        <v>12.7</v>
      </c>
      <c r="U228">
        <v>127</v>
      </c>
      <c r="V228" s="1">
        <f t="shared" si="113"/>
        <v>702.3660000000001</v>
      </c>
      <c r="W228" s="1">
        <f t="shared" si="114"/>
        <v>192.37400000000002</v>
      </c>
      <c r="X228" t="s">
        <v>40</v>
      </c>
      <c r="Y228">
        <v>80</v>
      </c>
      <c r="Z228">
        <v>2</v>
      </c>
      <c r="AA228">
        <v>6.35</v>
      </c>
      <c r="AB228">
        <v>31.7</v>
      </c>
      <c r="AC228">
        <f t="shared" si="115"/>
        <v>435.41399999999999</v>
      </c>
      <c r="AD228">
        <f t="shared" si="116"/>
        <v>187.18</v>
      </c>
      <c r="AE228">
        <v>3</v>
      </c>
      <c r="AF228">
        <v>40</v>
      </c>
      <c r="AG228">
        <v>0</v>
      </c>
      <c r="AH228">
        <v>0</v>
      </c>
      <c r="AI228">
        <v>3</v>
      </c>
      <c r="AJ228">
        <v>40</v>
      </c>
      <c r="AK228">
        <v>0</v>
      </c>
      <c r="AL228">
        <v>0</v>
      </c>
      <c r="AM228" s="30">
        <v>35</v>
      </c>
      <c r="AN228">
        <v>250</v>
      </c>
      <c r="AO228">
        <v>250</v>
      </c>
      <c r="AP228" t="s">
        <v>39</v>
      </c>
      <c r="AR228">
        <v>15.9</v>
      </c>
      <c r="AS228">
        <v>199</v>
      </c>
      <c r="AT228">
        <f t="shared" si="117"/>
        <v>395.33200000000005</v>
      </c>
      <c r="AU228">
        <f t="shared" si="118"/>
        <v>184.04399999999998</v>
      </c>
      <c r="AV228" t="s">
        <v>40</v>
      </c>
      <c r="AW228">
        <v>50</v>
      </c>
      <c r="AX228">
        <v>2</v>
      </c>
      <c r="AY228">
        <v>6.35</v>
      </c>
      <c r="AZ228">
        <v>31.7</v>
      </c>
      <c r="BA228">
        <f t="shared" si="119"/>
        <v>435.41399999999999</v>
      </c>
      <c r="BB228">
        <f t="shared" si="120"/>
        <v>187.18</v>
      </c>
      <c r="BC228">
        <v>4</v>
      </c>
      <c r="BD228">
        <v>40</v>
      </c>
      <c r="BE228">
        <v>2</v>
      </c>
      <c r="BF228">
        <v>55</v>
      </c>
      <c r="BG228">
        <v>4</v>
      </c>
      <c r="BH228">
        <v>40</v>
      </c>
      <c r="BI228">
        <v>2</v>
      </c>
      <c r="BJ228">
        <v>55</v>
      </c>
      <c r="BK228" s="30">
        <v>40</v>
      </c>
      <c r="BL228" s="30">
        <v>0</v>
      </c>
      <c r="BM228" t="s">
        <v>166</v>
      </c>
      <c r="BN228" t="s">
        <v>785</v>
      </c>
      <c r="BQ228">
        <v>3</v>
      </c>
      <c r="BR228">
        <v>6</v>
      </c>
      <c r="BS228">
        <f t="shared" si="121"/>
        <v>31.7</v>
      </c>
      <c r="BT228">
        <f t="shared" si="122"/>
        <v>187.18</v>
      </c>
      <c r="BU228" s="23">
        <v>0.3</v>
      </c>
    </row>
    <row r="229" spans="1:74">
      <c r="A229">
        <v>224</v>
      </c>
      <c r="B229" s="1">
        <v>2</v>
      </c>
      <c r="G229" t="s">
        <v>160</v>
      </c>
      <c r="H229" s="51" t="s">
        <v>295</v>
      </c>
      <c r="I229">
        <f t="shared" si="111"/>
        <v>33.222000000000001</v>
      </c>
      <c r="J229">
        <f t="shared" si="111"/>
        <v>33.222000000000001</v>
      </c>
      <c r="K229">
        <f t="shared" si="112"/>
        <v>33.222000000000001</v>
      </c>
      <c r="L229">
        <v>2000</v>
      </c>
      <c r="M229">
        <v>1400</v>
      </c>
      <c r="N229">
        <v>0</v>
      </c>
      <c r="O229">
        <v>294</v>
      </c>
      <c r="P229">
        <v>180</v>
      </c>
      <c r="Q229">
        <v>300</v>
      </c>
      <c r="R229" t="s">
        <v>62</v>
      </c>
      <c r="T229">
        <v>12.7</v>
      </c>
      <c r="U229">
        <v>127</v>
      </c>
      <c r="V229" s="1">
        <f t="shared" si="113"/>
        <v>702.3660000000001</v>
      </c>
      <c r="W229" s="1">
        <f t="shared" si="114"/>
        <v>192.37400000000002</v>
      </c>
      <c r="X229" t="s">
        <v>40</v>
      </c>
      <c r="Y229">
        <v>80</v>
      </c>
      <c r="Z229">
        <v>2</v>
      </c>
      <c r="AA229">
        <v>6.35</v>
      </c>
      <c r="AB229">
        <v>31.7</v>
      </c>
      <c r="AC229">
        <f t="shared" si="115"/>
        <v>435.41399999999999</v>
      </c>
      <c r="AD229">
        <f t="shared" si="116"/>
        <v>187.18</v>
      </c>
      <c r="AE229">
        <v>3</v>
      </c>
      <c r="AF229">
        <v>40</v>
      </c>
      <c r="AG229">
        <v>0</v>
      </c>
      <c r="AH229">
        <v>0</v>
      </c>
      <c r="AI229">
        <v>3</v>
      </c>
      <c r="AJ229">
        <v>40</v>
      </c>
      <c r="AK229">
        <v>0</v>
      </c>
      <c r="AL229">
        <v>0</v>
      </c>
      <c r="AM229" s="30">
        <v>35</v>
      </c>
      <c r="AN229">
        <v>250</v>
      </c>
      <c r="AO229">
        <v>250</v>
      </c>
      <c r="AP229" t="s">
        <v>39</v>
      </c>
      <c r="AR229">
        <v>15.9</v>
      </c>
      <c r="AS229">
        <v>199</v>
      </c>
      <c r="AT229">
        <f t="shared" si="117"/>
        <v>395.33200000000005</v>
      </c>
      <c r="AU229">
        <f t="shared" si="118"/>
        <v>184.04399999999998</v>
      </c>
      <c r="AV229" t="s">
        <v>40</v>
      </c>
      <c r="AW229">
        <v>50</v>
      </c>
      <c r="AX229">
        <v>2</v>
      </c>
      <c r="AY229">
        <v>6.35</v>
      </c>
      <c r="AZ229">
        <v>31.7</v>
      </c>
      <c r="BA229">
        <f t="shared" si="119"/>
        <v>435.41399999999999</v>
      </c>
      <c r="BB229">
        <f t="shared" si="120"/>
        <v>187.18</v>
      </c>
      <c r="BC229">
        <v>4</v>
      </c>
      <c r="BD229">
        <v>40</v>
      </c>
      <c r="BE229">
        <v>2</v>
      </c>
      <c r="BF229">
        <v>55</v>
      </c>
      <c r="BG229">
        <v>4</v>
      </c>
      <c r="BH229">
        <v>40</v>
      </c>
      <c r="BI229">
        <v>2</v>
      </c>
      <c r="BJ229">
        <v>55</v>
      </c>
      <c r="BK229" s="30">
        <v>40</v>
      </c>
      <c r="BL229" s="30">
        <v>0</v>
      </c>
      <c r="BM229" t="s">
        <v>166</v>
      </c>
      <c r="BN229" t="s">
        <v>40</v>
      </c>
      <c r="BQ229">
        <v>4</v>
      </c>
      <c r="BR229">
        <v>8</v>
      </c>
      <c r="BS229">
        <f t="shared" si="121"/>
        <v>31.7</v>
      </c>
      <c r="BT229">
        <f t="shared" si="122"/>
        <v>187.18</v>
      </c>
      <c r="BU229" s="23">
        <v>0.35</v>
      </c>
    </row>
    <row r="230" spans="1:74">
      <c r="A230">
        <v>225</v>
      </c>
      <c r="B230" s="1">
        <v>2</v>
      </c>
      <c r="G230" t="s">
        <v>84</v>
      </c>
      <c r="H230" s="51" t="s">
        <v>296</v>
      </c>
      <c r="I230">
        <f t="shared" si="111"/>
        <v>33.222000000000001</v>
      </c>
      <c r="J230">
        <f t="shared" si="111"/>
        <v>33.222000000000001</v>
      </c>
      <c r="K230">
        <f t="shared" si="112"/>
        <v>33.222000000000001</v>
      </c>
      <c r="L230">
        <v>2000</v>
      </c>
      <c r="M230">
        <v>1400</v>
      </c>
      <c r="N230">
        <v>0</v>
      </c>
      <c r="O230">
        <v>294</v>
      </c>
      <c r="P230">
        <v>180</v>
      </c>
      <c r="Q230">
        <v>400</v>
      </c>
      <c r="R230" t="s">
        <v>62</v>
      </c>
      <c r="T230">
        <v>12.7</v>
      </c>
      <c r="U230">
        <v>127</v>
      </c>
      <c r="V230" s="1">
        <f t="shared" si="113"/>
        <v>702.3660000000001</v>
      </c>
      <c r="W230" s="1">
        <f t="shared" si="114"/>
        <v>192.37400000000002</v>
      </c>
      <c r="X230" t="s">
        <v>40</v>
      </c>
      <c r="Y230">
        <v>80</v>
      </c>
      <c r="Z230">
        <v>2</v>
      </c>
      <c r="AA230">
        <v>6.35</v>
      </c>
      <c r="AB230">
        <v>31.7</v>
      </c>
      <c r="AC230">
        <f t="shared" si="115"/>
        <v>435.41399999999999</v>
      </c>
      <c r="AD230">
        <f t="shared" si="116"/>
        <v>187.18</v>
      </c>
      <c r="AE230">
        <v>3</v>
      </c>
      <c r="AF230">
        <v>40</v>
      </c>
      <c r="AG230">
        <v>0</v>
      </c>
      <c r="AH230">
        <v>0</v>
      </c>
      <c r="AI230">
        <v>3</v>
      </c>
      <c r="AJ230">
        <v>40</v>
      </c>
      <c r="AK230">
        <v>0</v>
      </c>
      <c r="AL230">
        <v>0</v>
      </c>
      <c r="AM230" s="30">
        <v>35</v>
      </c>
      <c r="AN230">
        <v>250</v>
      </c>
      <c r="AO230">
        <v>250</v>
      </c>
      <c r="AP230" t="s">
        <v>39</v>
      </c>
      <c r="AR230">
        <v>15.9</v>
      </c>
      <c r="AS230">
        <v>199</v>
      </c>
      <c r="AT230">
        <f t="shared" si="117"/>
        <v>395.33200000000005</v>
      </c>
      <c r="AU230">
        <f t="shared" si="118"/>
        <v>184.04399999999998</v>
      </c>
      <c r="AV230" t="s">
        <v>40</v>
      </c>
      <c r="AW230">
        <v>50</v>
      </c>
      <c r="AX230">
        <v>4</v>
      </c>
      <c r="AY230">
        <v>6.35</v>
      </c>
      <c r="AZ230">
        <v>31.7</v>
      </c>
      <c r="BA230">
        <f t="shared" si="119"/>
        <v>435.41399999999999</v>
      </c>
      <c r="BB230">
        <f t="shared" si="120"/>
        <v>187.18</v>
      </c>
      <c r="BC230">
        <v>4</v>
      </c>
      <c r="BD230">
        <v>40</v>
      </c>
      <c r="BE230">
        <v>2</v>
      </c>
      <c r="BF230">
        <v>55</v>
      </c>
      <c r="BG230">
        <v>4</v>
      </c>
      <c r="BH230">
        <v>40</v>
      </c>
      <c r="BI230">
        <v>2</v>
      </c>
      <c r="BJ230">
        <v>55</v>
      </c>
      <c r="BK230" s="30">
        <v>40</v>
      </c>
      <c r="BL230" s="30">
        <v>0</v>
      </c>
      <c r="BM230" t="s">
        <v>379</v>
      </c>
      <c r="BN230" t="s">
        <v>40</v>
      </c>
      <c r="BQ230">
        <v>5</v>
      </c>
      <c r="BR230">
        <v>20</v>
      </c>
      <c r="BS230">
        <f t="shared" si="121"/>
        <v>31.7</v>
      </c>
      <c r="BT230">
        <f t="shared" si="122"/>
        <v>187.18</v>
      </c>
      <c r="BU230" s="23">
        <v>0.48</v>
      </c>
    </row>
    <row r="231" spans="1:74">
      <c r="A231">
        <v>226</v>
      </c>
      <c r="B231" s="1">
        <v>2</v>
      </c>
      <c r="G231" t="s">
        <v>84</v>
      </c>
      <c r="H231" s="51" t="s">
        <v>297</v>
      </c>
      <c r="I231">
        <f t="shared" si="111"/>
        <v>33.222000000000001</v>
      </c>
      <c r="J231">
        <f t="shared" si="111"/>
        <v>33.222000000000001</v>
      </c>
      <c r="K231">
        <f t="shared" si="112"/>
        <v>33.222000000000001</v>
      </c>
      <c r="L231">
        <v>2000</v>
      </c>
      <c r="M231">
        <v>1400</v>
      </c>
      <c r="N231">
        <v>0</v>
      </c>
      <c r="O231">
        <v>294</v>
      </c>
      <c r="P231">
        <v>180</v>
      </c>
      <c r="Q231">
        <v>400</v>
      </c>
      <c r="R231" t="s">
        <v>62</v>
      </c>
      <c r="T231">
        <v>12.7</v>
      </c>
      <c r="U231">
        <v>127</v>
      </c>
      <c r="V231" s="1">
        <f t="shared" si="113"/>
        <v>702.3660000000001</v>
      </c>
      <c r="W231" s="1">
        <f t="shared" si="114"/>
        <v>192.37400000000002</v>
      </c>
      <c r="X231" t="s">
        <v>40</v>
      </c>
      <c r="Y231">
        <v>80</v>
      </c>
      <c r="Z231">
        <v>2</v>
      </c>
      <c r="AA231">
        <v>6.35</v>
      </c>
      <c r="AB231">
        <v>31.7</v>
      </c>
      <c r="AC231">
        <f t="shared" si="115"/>
        <v>435.41399999999999</v>
      </c>
      <c r="AD231">
        <f t="shared" si="116"/>
        <v>187.18</v>
      </c>
      <c r="AE231">
        <v>3</v>
      </c>
      <c r="AF231">
        <v>40</v>
      </c>
      <c r="AG231">
        <v>0</v>
      </c>
      <c r="AH231">
        <v>0</v>
      </c>
      <c r="AI231">
        <v>3</v>
      </c>
      <c r="AJ231">
        <v>40</v>
      </c>
      <c r="AK231">
        <v>0</v>
      </c>
      <c r="AL231">
        <v>0</v>
      </c>
      <c r="AM231" s="30">
        <v>35</v>
      </c>
      <c r="AN231">
        <v>250</v>
      </c>
      <c r="AO231">
        <v>250</v>
      </c>
      <c r="AP231" t="s">
        <v>39</v>
      </c>
      <c r="AR231">
        <v>15.9</v>
      </c>
      <c r="AS231">
        <v>199</v>
      </c>
      <c r="AT231">
        <f t="shared" si="117"/>
        <v>395.33200000000005</v>
      </c>
      <c r="AU231">
        <f t="shared" si="118"/>
        <v>184.04399999999998</v>
      </c>
      <c r="AV231" t="s">
        <v>40</v>
      </c>
      <c r="AW231">
        <v>50</v>
      </c>
      <c r="AX231">
        <v>4</v>
      </c>
      <c r="AY231">
        <v>6.35</v>
      </c>
      <c r="AZ231">
        <v>31.7</v>
      </c>
      <c r="BA231">
        <f t="shared" si="119"/>
        <v>435.41399999999999</v>
      </c>
      <c r="BB231">
        <f t="shared" si="120"/>
        <v>187.18</v>
      </c>
      <c r="BC231">
        <v>4</v>
      </c>
      <c r="BD231">
        <v>40</v>
      </c>
      <c r="BE231">
        <v>2</v>
      </c>
      <c r="BF231">
        <v>55</v>
      </c>
      <c r="BG231">
        <v>4</v>
      </c>
      <c r="BH231">
        <v>40</v>
      </c>
      <c r="BI231">
        <v>2</v>
      </c>
      <c r="BJ231">
        <v>55</v>
      </c>
      <c r="BK231" s="30">
        <v>40</v>
      </c>
      <c r="BL231" s="30">
        <v>0</v>
      </c>
      <c r="BM231" t="s">
        <v>790</v>
      </c>
      <c r="BN231" t="s">
        <v>40</v>
      </c>
      <c r="BQ231">
        <v>5</v>
      </c>
      <c r="BR231">
        <v>10</v>
      </c>
      <c r="BS231">
        <f t="shared" si="121"/>
        <v>31.7</v>
      </c>
      <c r="BT231">
        <f t="shared" si="122"/>
        <v>187.18</v>
      </c>
      <c r="BU231" s="23">
        <v>0.24</v>
      </c>
    </row>
    <row r="232" spans="1:74">
      <c r="A232">
        <v>227</v>
      </c>
      <c r="B232" s="1">
        <v>2</v>
      </c>
      <c r="G232" t="s">
        <v>84</v>
      </c>
      <c r="H232" s="51" t="s">
        <v>298</v>
      </c>
      <c r="I232">
        <f t="shared" si="111"/>
        <v>33.222000000000001</v>
      </c>
      <c r="J232">
        <f t="shared" si="111"/>
        <v>33.222000000000001</v>
      </c>
      <c r="K232">
        <f t="shared" si="112"/>
        <v>33.222000000000001</v>
      </c>
      <c r="L232">
        <v>2000</v>
      </c>
      <c r="M232">
        <v>1400</v>
      </c>
      <c r="N232">
        <v>0</v>
      </c>
      <c r="O232">
        <v>294</v>
      </c>
      <c r="P232">
        <v>180</v>
      </c>
      <c r="Q232">
        <v>500</v>
      </c>
      <c r="R232" t="s">
        <v>62</v>
      </c>
      <c r="T232">
        <v>12.7</v>
      </c>
      <c r="U232">
        <v>127</v>
      </c>
      <c r="V232" s="1">
        <f t="shared" si="113"/>
        <v>702.3660000000001</v>
      </c>
      <c r="W232" s="1">
        <f t="shared" si="114"/>
        <v>192.37400000000002</v>
      </c>
      <c r="X232" t="s">
        <v>40</v>
      </c>
      <c r="Y232">
        <v>80</v>
      </c>
      <c r="Z232">
        <v>2</v>
      </c>
      <c r="AA232">
        <v>6.35</v>
      </c>
      <c r="AB232">
        <v>31.7</v>
      </c>
      <c r="AC232">
        <f t="shared" si="115"/>
        <v>435.41399999999999</v>
      </c>
      <c r="AD232">
        <f t="shared" si="116"/>
        <v>187.18</v>
      </c>
      <c r="AE232">
        <v>3</v>
      </c>
      <c r="AF232">
        <v>40</v>
      </c>
      <c r="AG232">
        <v>0</v>
      </c>
      <c r="AH232">
        <v>0</v>
      </c>
      <c r="AI232">
        <v>3</v>
      </c>
      <c r="AJ232">
        <v>40</v>
      </c>
      <c r="AK232">
        <v>0</v>
      </c>
      <c r="AL232">
        <v>0</v>
      </c>
      <c r="AM232" s="30">
        <v>35</v>
      </c>
      <c r="AN232">
        <v>250</v>
      </c>
      <c r="AO232">
        <v>250</v>
      </c>
      <c r="AP232" t="s">
        <v>39</v>
      </c>
      <c r="AR232">
        <v>15.9</v>
      </c>
      <c r="AS232">
        <v>199</v>
      </c>
      <c r="AT232">
        <f t="shared" si="117"/>
        <v>395.33200000000005</v>
      </c>
      <c r="AU232">
        <f t="shared" si="118"/>
        <v>184.04399999999998</v>
      </c>
      <c r="AV232" t="s">
        <v>40</v>
      </c>
      <c r="AW232">
        <v>50</v>
      </c>
      <c r="AX232">
        <v>4</v>
      </c>
      <c r="AY232">
        <v>6.35</v>
      </c>
      <c r="AZ232">
        <v>31.7</v>
      </c>
      <c r="BA232">
        <f t="shared" si="119"/>
        <v>435.41399999999999</v>
      </c>
      <c r="BB232">
        <f t="shared" si="120"/>
        <v>187.18</v>
      </c>
      <c r="BC232">
        <v>4</v>
      </c>
      <c r="BD232">
        <v>40</v>
      </c>
      <c r="BE232">
        <v>2</v>
      </c>
      <c r="BF232">
        <v>55</v>
      </c>
      <c r="BG232">
        <v>4</v>
      </c>
      <c r="BH232">
        <v>40</v>
      </c>
      <c r="BI232">
        <v>2</v>
      </c>
      <c r="BJ232">
        <v>55</v>
      </c>
      <c r="BK232" s="30">
        <v>40</v>
      </c>
      <c r="BL232" s="30">
        <v>0</v>
      </c>
      <c r="BM232" t="s">
        <v>379</v>
      </c>
      <c r="BN232" t="s">
        <v>40</v>
      </c>
      <c r="BQ232">
        <v>7</v>
      </c>
      <c r="BR232">
        <v>28</v>
      </c>
      <c r="BS232">
        <f t="shared" si="121"/>
        <v>31.7</v>
      </c>
      <c r="BT232">
        <f t="shared" si="122"/>
        <v>187.18</v>
      </c>
      <c r="BU232" s="23">
        <v>0.43</v>
      </c>
    </row>
    <row r="233" spans="1:74">
      <c r="A233">
        <v>228</v>
      </c>
      <c r="B233" s="1">
        <v>1</v>
      </c>
      <c r="C233">
        <v>71</v>
      </c>
      <c r="D233" t="s">
        <v>93</v>
      </c>
      <c r="E233">
        <v>2003</v>
      </c>
      <c r="F233" t="s">
        <v>27</v>
      </c>
      <c r="G233" t="s">
        <v>158</v>
      </c>
      <c r="H233" s="1" t="s">
        <v>106</v>
      </c>
      <c r="I233">
        <v>40.299999999999997</v>
      </c>
      <c r="J233">
        <v>89.3</v>
      </c>
      <c r="K233">
        <f t="shared" si="112"/>
        <v>89.3</v>
      </c>
      <c r="L233">
        <v>3200</v>
      </c>
      <c r="M233">
        <v>1700</v>
      </c>
      <c r="N233">
        <v>0</v>
      </c>
      <c r="O233">
        <f>0.2*AN233*AO233*J233/1000</f>
        <v>5016.8739999999998</v>
      </c>
      <c r="P233">
        <v>450</v>
      </c>
      <c r="Q233">
        <v>480</v>
      </c>
      <c r="R233" t="s">
        <v>162</v>
      </c>
      <c r="S233" s="30" t="s">
        <v>256</v>
      </c>
      <c r="T233">
        <v>22.2</v>
      </c>
      <c r="U233">
        <v>387</v>
      </c>
      <c r="V233" s="1">
        <v>525</v>
      </c>
      <c r="W233" s="1">
        <v>193</v>
      </c>
      <c r="X233" t="s">
        <v>153</v>
      </c>
      <c r="Y233">
        <v>100</v>
      </c>
      <c r="Z233">
        <v>4</v>
      </c>
      <c r="AA233">
        <v>9.5299999999999994</v>
      </c>
      <c r="AB233">
        <v>71.3</v>
      </c>
      <c r="AC233">
        <v>859</v>
      </c>
      <c r="AD233">
        <v>205</v>
      </c>
      <c r="AE233">
        <v>5</v>
      </c>
      <c r="AF233">
        <v>50</v>
      </c>
      <c r="AG233">
        <v>2</v>
      </c>
      <c r="AH233">
        <v>65</v>
      </c>
      <c r="AI233">
        <v>5</v>
      </c>
      <c r="AJ233">
        <v>50</v>
      </c>
      <c r="AK233">
        <v>2</v>
      </c>
      <c r="AL233">
        <v>65</v>
      </c>
      <c r="AM233" s="30">
        <v>55</v>
      </c>
      <c r="AN233">
        <v>530</v>
      </c>
      <c r="AO233">
        <v>530</v>
      </c>
      <c r="AP233" t="s">
        <v>162</v>
      </c>
      <c r="AR233">
        <v>22.2</v>
      </c>
      <c r="AS233">
        <v>387</v>
      </c>
      <c r="AT233">
        <v>525</v>
      </c>
      <c r="AU233">
        <v>193</v>
      </c>
      <c r="AV233" t="s">
        <v>153</v>
      </c>
      <c r="AW233">
        <v>80</v>
      </c>
      <c r="AX233">
        <v>4</v>
      </c>
      <c r="AY233">
        <v>9.5299999999999994</v>
      </c>
      <c r="AZ233">
        <v>71.3</v>
      </c>
      <c r="BA233">
        <v>859</v>
      </c>
      <c r="BB233">
        <v>205</v>
      </c>
      <c r="BC233">
        <v>4</v>
      </c>
      <c r="BD233">
        <v>50</v>
      </c>
      <c r="BE233">
        <v>4</v>
      </c>
      <c r="BF233">
        <v>90</v>
      </c>
      <c r="BG233">
        <v>4</v>
      </c>
      <c r="BH233">
        <v>50</v>
      </c>
      <c r="BI233">
        <v>4</v>
      </c>
      <c r="BJ233">
        <v>90</v>
      </c>
      <c r="BK233" s="30">
        <v>50</v>
      </c>
      <c r="BL233" s="30">
        <v>0</v>
      </c>
      <c r="BM233" t="s">
        <v>166</v>
      </c>
      <c r="BN233" t="s">
        <v>787</v>
      </c>
      <c r="BP233" s="30">
        <v>71.3</v>
      </c>
      <c r="BQ233">
        <v>5</v>
      </c>
      <c r="BR233">
        <v>8</v>
      </c>
      <c r="BS233">
        <v>859</v>
      </c>
      <c r="BT233">
        <v>205</v>
      </c>
    </row>
    <row r="234" spans="1:74">
      <c r="A234">
        <v>229</v>
      </c>
      <c r="B234" s="1">
        <v>1</v>
      </c>
      <c r="C234">
        <v>72</v>
      </c>
      <c r="D234" t="s">
        <v>94</v>
      </c>
      <c r="E234">
        <v>2003</v>
      </c>
      <c r="F234" t="s">
        <v>27</v>
      </c>
      <c r="G234" t="s">
        <v>84</v>
      </c>
      <c r="H234" s="1" t="s">
        <v>299</v>
      </c>
      <c r="I234">
        <v>115.3</v>
      </c>
      <c r="J234">
        <v>115.3</v>
      </c>
      <c r="K234">
        <f t="shared" si="112"/>
        <v>115.3</v>
      </c>
      <c r="L234">
        <v>2160</v>
      </c>
      <c r="M234">
        <v>1200</v>
      </c>
      <c r="N234">
        <v>0</v>
      </c>
      <c r="O234">
        <v>3870</v>
      </c>
      <c r="P234">
        <v>250</v>
      </c>
      <c r="Q234">
        <v>400</v>
      </c>
      <c r="R234" t="s">
        <v>57</v>
      </c>
      <c r="S234" s="30" t="s">
        <v>278</v>
      </c>
      <c r="T234">
        <v>19.100000000000001</v>
      </c>
      <c r="U234">
        <v>287</v>
      </c>
      <c r="V234" s="1">
        <v>785</v>
      </c>
      <c r="W234" s="1">
        <v>190</v>
      </c>
      <c r="X234" t="s">
        <v>300</v>
      </c>
      <c r="Y234">
        <v>50</v>
      </c>
      <c r="Z234">
        <v>4</v>
      </c>
      <c r="AA234">
        <v>6.35</v>
      </c>
      <c r="AB234">
        <v>31.7</v>
      </c>
      <c r="AC234">
        <v>1008</v>
      </c>
      <c r="AD234">
        <v>193</v>
      </c>
      <c r="AE234">
        <v>4</v>
      </c>
      <c r="AF234">
        <v>39</v>
      </c>
      <c r="AG234">
        <v>4</v>
      </c>
      <c r="AH234">
        <v>54</v>
      </c>
      <c r="AI234">
        <v>4</v>
      </c>
      <c r="AJ234">
        <v>39</v>
      </c>
      <c r="AK234">
        <v>4</v>
      </c>
      <c r="AL234">
        <v>54</v>
      </c>
      <c r="AM234" s="30">
        <v>42</v>
      </c>
      <c r="AN234">
        <v>400</v>
      </c>
      <c r="AO234">
        <v>400</v>
      </c>
      <c r="AP234" t="s">
        <v>57</v>
      </c>
      <c r="AQ234" s="30" t="s">
        <v>278</v>
      </c>
      <c r="AR234">
        <v>19.100000000000001</v>
      </c>
      <c r="AS234">
        <v>287</v>
      </c>
      <c r="AT234">
        <v>785</v>
      </c>
      <c r="AU234">
        <v>190</v>
      </c>
      <c r="AV234" t="s">
        <v>300</v>
      </c>
      <c r="AW234">
        <v>50</v>
      </c>
      <c r="AX234">
        <v>4</v>
      </c>
      <c r="AY234">
        <v>6.35</v>
      </c>
      <c r="AZ234">
        <v>32</v>
      </c>
      <c r="BA234">
        <v>1008</v>
      </c>
      <c r="BB234">
        <v>193</v>
      </c>
      <c r="BC234">
        <v>5</v>
      </c>
      <c r="BD234">
        <v>49</v>
      </c>
      <c r="BE234">
        <v>2</v>
      </c>
      <c r="BF234">
        <v>95</v>
      </c>
      <c r="BG234">
        <v>5</v>
      </c>
      <c r="BH234">
        <v>49</v>
      </c>
      <c r="BI234">
        <v>2</v>
      </c>
      <c r="BJ234">
        <v>95</v>
      </c>
      <c r="BK234" s="30">
        <v>49</v>
      </c>
      <c r="BL234" s="30">
        <v>2</v>
      </c>
      <c r="BM234" t="s">
        <v>166</v>
      </c>
      <c r="BN234" t="s">
        <v>791</v>
      </c>
      <c r="BP234" s="30">
        <v>32</v>
      </c>
      <c r="BQ234">
        <v>3</v>
      </c>
      <c r="BR234">
        <v>6</v>
      </c>
      <c r="BS234">
        <v>1008</v>
      </c>
      <c r="BT234">
        <v>193</v>
      </c>
      <c r="BU234" s="23">
        <v>0.22</v>
      </c>
    </row>
    <row r="235" spans="1:74">
      <c r="A235">
        <v>230</v>
      </c>
      <c r="B235" s="1">
        <v>1</v>
      </c>
      <c r="C235" s="17"/>
      <c r="D235" s="17"/>
      <c r="E235" s="17"/>
      <c r="F235" s="17"/>
      <c r="G235" s="17" t="s">
        <v>160</v>
      </c>
      <c r="H235" s="7" t="s">
        <v>175</v>
      </c>
      <c r="I235" s="17">
        <v>94.9</v>
      </c>
      <c r="J235" s="17">
        <v>124</v>
      </c>
      <c r="K235" s="17">
        <v>120.6</v>
      </c>
      <c r="L235" s="17">
        <v>2160</v>
      </c>
      <c r="M235" s="17">
        <v>1200</v>
      </c>
      <c r="N235" s="17">
        <v>0</v>
      </c>
      <c r="O235" s="17">
        <v>4490</v>
      </c>
      <c r="P235" s="17">
        <v>250</v>
      </c>
      <c r="Q235" s="17">
        <v>400</v>
      </c>
      <c r="R235" s="17" t="s">
        <v>57</v>
      </c>
      <c r="S235" s="31" t="s">
        <v>256</v>
      </c>
      <c r="T235" s="17">
        <v>19.100000000000001</v>
      </c>
      <c r="U235" s="17">
        <v>287</v>
      </c>
      <c r="V235" s="7">
        <v>542</v>
      </c>
      <c r="W235" s="7">
        <v>192</v>
      </c>
      <c r="X235" s="17" t="s">
        <v>300</v>
      </c>
      <c r="Y235" s="17">
        <v>70</v>
      </c>
      <c r="Z235" s="17">
        <v>4</v>
      </c>
      <c r="AA235" s="17">
        <v>6.35</v>
      </c>
      <c r="AB235" s="17">
        <v>31.7</v>
      </c>
      <c r="AC235" s="17">
        <v>1008</v>
      </c>
      <c r="AD235" s="17">
        <v>193</v>
      </c>
      <c r="AE235" s="17">
        <v>4</v>
      </c>
      <c r="AF235" s="17">
        <v>39</v>
      </c>
      <c r="AG235" s="17">
        <v>4</v>
      </c>
      <c r="AH235" s="17">
        <v>54</v>
      </c>
      <c r="AI235" s="17">
        <v>4</v>
      </c>
      <c r="AJ235" s="17">
        <v>39</v>
      </c>
      <c r="AK235" s="17">
        <v>4</v>
      </c>
      <c r="AL235" s="17">
        <v>54</v>
      </c>
      <c r="AM235" s="31">
        <v>42</v>
      </c>
      <c r="AN235" s="17">
        <v>400</v>
      </c>
      <c r="AO235" s="17">
        <v>400</v>
      </c>
      <c r="AP235" s="17" t="s">
        <v>57</v>
      </c>
      <c r="AQ235" s="31" t="s">
        <v>278</v>
      </c>
      <c r="AR235" s="17">
        <v>19.100000000000001</v>
      </c>
      <c r="AS235" s="17">
        <v>287</v>
      </c>
      <c r="AT235" s="17">
        <v>785</v>
      </c>
      <c r="AU235" s="17">
        <v>190</v>
      </c>
      <c r="AV235" s="17" t="s">
        <v>300</v>
      </c>
      <c r="AW235" s="17">
        <v>60</v>
      </c>
      <c r="AX235" s="17">
        <v>4</v>
      </c>
      <c r="AY235" s="17">
        <v>6.35</v>
      </c>
      <c r="AZ235" s="17">
        <v>32</v>
      </c>
      <c r="BA235" s="17">
        <v>1008</v>
      </c>
      <c r="BB235" s="17">
        <v>193</v>
      </c>
      <c r="BC235" s="17">
        <v>5</v>
      </c>
      <c r="BD235" s="17">
        <v>49</v>
      </c>
      <c r="BE235" s="17">
        <v>2</v>
      </c>
      <c r="BF235" s="17">
        <v>95</v>
      </c>
      <c r="BG235" s="17">
        <v>5</v>
      </c>
      <c r="BH235" s="17">
        <v>49</v>
      </c>
      <c r="BI235" s="17">
        <v>2</v>
      </c>
      <c r="BJ235" s="17">
        <v>95</v>
      </c>
      <c r="BK235" s="31">
        <v>49</v>
      </c>
      <c r="BL235" s="31">
        <v>2</v>
      </c>
      <c r="BM235" s="17" t="s">
        <v>166</v>
      </c>
      <c r="BN235" s="17" t="s">
        <v>791</v>
      </c>
      <c r="BO235" s="31"/>
      <c r="BP235" s="31">
        <v>32</v>
      </c>
      <c r="BQ235" s="17">
        <v>4</v>
      </c>
      <c r="BR235" s="17">
        <v>8</v>
      </c>
      <c r="BS235" s="17">
        <v>1008</v>
      </c>
      <c r="BT235" s="17">
        <v>193</v>
      </c>
      <c r="BU235" s="86">
        <v>0.32</v>
      </c>
      <c r="BV235" s="17"/>
    </row>
    <row r="236" spans="1:74">
      <c r="A236">
        <v>231</v>
      </c>
      <c r="B236" s="1">
        <v>1</v>
      </c>
      <c r="C236">
        <v>73</v>
      </c>
      <c r="D236" t="s">
        <v>95</v>
      </c>
      <c r="E236">
        <v>2003</v>
      </c>
      <c r="F236" t="s">
        <v>27</v>
      </c>
      <c r="G236" t="s">
        <v>160</v>
      </c>
      <c r="H236" s="1" t="s">
        <v>301</v>
      </c>
      <c r="I236">
        <v>36.299999999999997</v>
      </c>
      <c r="J236">
        <v>36.299999999999997</v>
      </c>
      <c r="K236">
        <f>J236</f>
        <v>36.299999999999997</v>
      </c>
      <c r="L236">
        <v>2800</v>
      </c>
      <c r="M236">
        <v>2000</v>
      </c>
      <c r="N236">
        <v>0</v>
      </c>
      <c r="O236">
        <v>1350</v>
      </c>
      <c r="P236">
        <v>370</v>
      </c>
      <c r="Q236">
        <v>500</v>
      </c>
      <c r="R236" t="s">
        <v>213</v>
      </c>
      <c r="T236">
        <v>25.4</v>
      </c>
      <c r="U236">
        <v>507</v>
      </c>
      <c r="V236" s="1">
        <v>516.79999999999995</v>
      </c>
      <c r="W236" s="1">
        <f>V236/2661*1000</f>
        <v>194.21270199173242</v>
      </c>
      <c r="X236" t="s">
        <v>153</v>
      </c>
      <c r="Y236">
        <v>80</v>
      </c>
      <c r="Z236">
        <v>4</v>
      </c>
      <c r="AA236">
        <v>9.5299999999999994</v>
      </c>
      <c r="AB236">
        <v>71.3</v>
      </c>
      <c r="AC236">
        <v>849.3</v>
      </c>
      <c r="AD236">
        <f>AC236/4075*1000</f>
        <v>208.4171779141104</v>
      </c>
      <c r="AE236">
        <v>4</v>
      </c>
      <c r="AF236">
        <v>55</v>
      </c>
      <c r="AG236">
        <v>2</v>
      </c>
      <c r="AH236">
        <v>65</v>
      </c>
      <c r="AI236">
        <v>4</v>
      </c>
      <c r="AJ236">
        <v>55</v>
      </c>
      <c r="AK236">
        <v>2</v>
      </c>
      <c r="AL236">
        <v>65</v>
      </c>
      <c r="AM236" s="30">
        <v>55</v>
      </c>
      <c r="AN236">
        <v>500</v>
      </c>
      <c r="AO236">
        <v>500</v>
      </c>
      <c r="AP236" t="s">
        <v>162</v>
      </c>
      <c r="AQ236" s="30" t="s">
        <v>256</v>
      </c>
      <c r="AR236">
        <v>22.2</v>
      </c>
      <c r="AS236">
        <v>387</v>
      </c>
      <c r="AT236">
        <v>534</v>
      </c>
      <c r="AU236">
        <f>AT236/2772*1000</f>
        <v>192.64069264069263</v>
      </c>
      <c r="AV236" t="s">
        <v>153</v>
      </c>
      <c r="AW236">
        <v>70</v>
      </c>
      <c r="AX236">
        <v>4</v>
      </c>
      <c r="AY236">
        <v>9.5299999999999994</v>
      </c>
      <c r="AZ236">
        <v>71.3</v>
      </c>
      <c r="BA236">
        <v>849.3</v>
      </c>
      <c r="BB236">
        <f>BA236/4075*1000</f>
        <v>208.4171779141104</v>
      </c>
      <c r="BC236">
        <v>5</v>
      </c>
      <c r="BD236">
        <v>55</v>
      </c>
      <c r="BE236">
        <v>2</v>
      </c>
      <c r="BF236">
        <v>110</v>
      </c>
      <c r="BG236">
        <v>5</v>
      </c>
      <c r="BH236">
        <v>55</v>
      </c>
      <c r="BI236">
        <v>2</v>
      </c>
      <c r="BJ236">
        <v>110</v>
      </c>
      <c r="BK236" s="30">
        <v>55</v>
      </c>
      <c r="BL236" s="30">
        <v>0</v>
      </c>
      <c r="BM236" t="s">
        <v>379</v>
      </c>
      <c r="BN236" t="s">
        <v>787</v>
      </c>
      <c r="BP236" s="30">
        <v>71.3</v>
      </c>
      <c r="BQ236">
        <v>3</v>
      </c>
      <c r="BR236">
        <v>12</v>
      </c>
      <c r="BS236">
        <v>849.3</v>
      </c>
      <c r="BT236" s="2">
        <f>BS236/4075*1000</f>
        <v>208.4171779141104</v>
      </c>
      <c r="BU236" s="77"/>
    </row>
    <row r="237" spans="1:74">
      <c r="A237">
        <v>232</v>
      </c>
      <c r="B237" s="1">
        <v>1</v>
      </c>
      <c r="C237" s="17"/>
      <c r="D237" s="17"/>
      <c r="E237" s="17"/>
      <c r="F237" s="17"/>
      <c r="G237" s="17" t="s">
        <v>84</v>
      </c>
      <c r="H237" s="7" t="s">
        <v>302</v>
      </c>
      <c r="I237" s="17">
        <v>69.2</v>
      </c>
      <c r="J237" s="17">
        <v>69.2</v>
      </c>
      <c r="K237" s="17">
        <f>J237</f>
        <v>69.2</v>
      </c>
      <c r="L237" s="17">
        <v>2800</v>
      </c>
      <c r="M237" s="17">
        <v>2000</v>
      </c>
      <c r="N237" s="17">
        <v>0</v>
      </c>
      <c r="O237" s="17">
        <v>1350</v>
      </c>
      <c r="P237" s="17">
        <v>370</v>
      </c>
      <c r="Q237" s="17">
        <v>500</v>
      </c>
      <c r="R237" s="17" t="s">
        <v>213</v>
      </c>
      <c r="S237" s="31"/>
      <c r="T237" s="17">
        <v>25.4</v>
      </c>
      <c r="U237" s="17">
        <v>507</v>
      </c>
      <c r="V237" s="7">
        <v>511.3</v>
      </c>
      <c r="W237" s="7">
        <f>V237/2746*1000</f>
        <v>186.19810633648945</v>
      </c>
      <c r="X237" s="17" t="s">
        <v>153</v>
      </c>
      <c r="Y237" s="17">
        <v>80</v>
      </c>
      <c r="Z237" s="17">
        <v>4</v>
      </c>
      <c r="AA237" s="17">
        <v>9.5299999999999994</v>
      </c>
      <c r="AB237" s="17">
        <v>71.3</v>
      </c>
      <c r="AC237" s="17">
        <v>845.1</v>
      </c>
      <c r="AD237" s="17">
        <f>AC237/4193*1000</f>
        <v>201.55020271881708</v>
      </c>
      <c r="AE237" s="17">
        <v>4</v>
      </c>
      <c r="AF237" s="17">
        <v>55</v>
      </c>
      <c r="AG237" s="17">
        <v>2</v>
      </c>
      <c r="AH237" s="17">
        <v>65</v>
      </c>
      <c r="AI237" s="17">
        <v>4</v>
      </c>
      <c r="AJ237" s="17">
        <v>55</v>
      </c>
      <c r="AK237" s="17">
        <v>2</v>
      </c>
      <c r="AL237" s="17">
        <v>65</v>
      </c>
      <c r="AM237" s="31">
        <v>55</v>
      </c>
      <c r="AN237" s="17">
        <v>500</v>
      </c>
      <c r="AO237" s="17">
        <v>500</v>
      </c>
      <c r="AP237" s="17" t="s">
        <v>162</v>
      </c>
      <c r="AQ237" s="31" t="s">
        <v>256</v>
      </c>
      <c r="AR237" s="17">
        <v>22.2</v>
      </c>
      <c r="AS237" s="17">
        <v>387</v>
      </c>
      <c r="AT237" s="17">
        <v>511.4</v>
      </c>
      <c r="AU237" s="17">
        <f>AT237/2990*1000</f>
        <v>171.03678929765886</v>
      </c>
      <c r="AV237" s="17" t="s">
        <v>153</v>
      </c>
      <c r="AW237" s="17">
        <v>70</v>
      </c>
      <c r="AX237" s="17">
        <v>4</v>
      </c>
      <c r="AY237" s="17">
        <v>9.5299999999999994</v>
      </c>
      <c r="AZ237" s="17">
        <v>71.3</v>
      </c>
      <c r="BA237" s="17">
        <v>845.1</v>
      </c>
      <c r="BB237" s="17">
        <f>BA237/4193*1000</f>
        <v>201.55020271881708</v>
      </c>
      <c r="BC237" s="17">
        <v>5</v>
      </c>
      <c r="BD237" s="17">
        <v>55</v>
      </c>
      <c r="BE237" s="17">
        <v>2</v>
      </c>
      <c r="BF237" s="17">
        <v>110</v>
      </c>
      <c r="BG237" s="17">
        <v>5</v>
      </c>
      <c r="BH237" s="17">
        <v>55</v>
      </c>
      <c r="BI237" s="17">
        <v>2</v>
      </c>
      <c r="BJ237" s="17">
        <v>110</v>
      </c>
      <c r="BK237" s="31">
        <v>55</v>
      </c>
      <c r="BL237" s="31">
        <v>0</v>
      </c>
      <c r="BM237" s="17" t="s">
        <v>379</v>
      </c>
      <c r="BN237" s="17" t="s">
        <v>787</v>
      </c>
      <c r="BO237" s="31"/>
      <c r="BP237" s="31">
        <v>71.3</v>
      </c>
      <c r="BQ237" s="17">
        <v>3</v>
      </c>
      <c r="BR237" s="17">
        <v>12</v>
      </c>
      <c r="BS237" s="17">
        <v>845.1</v>
      </c>
      <c r="BT237" s="35">
        <f>BS237/4193*1000</f>
        <v>201.55020271881708</v>
      </c>
      <c r="BU237" s="102"/>
      <c r="BV237" s="17"/>
    </row>
    <row r="238" spans="1:74">
      <c r="A238">
        <v>233</v>
      </c>
      <c r="B238" s="1">
        <v>1</v>
      </c>
      <c r="C238">
        <v>74</v>
      </c>
      <c r="D238" t="s">
        <v>96</v>
      </c>
      <c r="E238">
        <v>2003</v>
      </c>
      <c r="F238" t="s">
        <v>27</v>
      </c>
      <c r="G238" t="s">
        <v>158</v>
      </c>
      <c r="H238" s="1" t="s">
        <v>201</v>
      </c>
      <c r="I238">
        <v>47.2</v>
      </c>
      <c r="J238">
        <v>47.2</v>
      </c>
      <c r="K238">
        <f>J238</f>
        <v>47.2</v>
      </c>
      <c r="L238">
        <v>2750</v>
      </c>
      <c r="M238">
        <v>1550</v>
      </c>
      <c r="N238">
        <v>0</v>
      </c>
      <c r="O238">
        <v>1843</v>
      </c>
      <c r="P238">
        <v>330</v>
      </c>
      <c r="Q238">
        <v>450</v>
      </c>
      <c r="R238" t="s">
        <v>57</v>
      </c>
      <c r="S238" s="30" t="s">
        <v>256</v>
      </c>
      <c r="T238">
        <v>19.100000000000001</v>
      </c>
      <c r="U238">
        <v>287</v>
      </c>
      <c r="V238" s="1">
        <v>535</v>
      </c>
      <c r="W238" s="1">
        <f>V238/2610*1000</f>
        <v>204.9808429118774</v>
      </c>
      <c r="X238" t="s">
        <v>40</v>
      </c>
      <c r="Y238">
        <v>75</v>
      </c>
      <c r="Z238">
        <v>4</v>
      </c>
      <c r="AA238">
        <v>6.35</v>
      </c>
      <c r="AB238">
        <v>31.7</v>
      </c>
      <c r="AC238">
        <v>671</v>
      </c>
      <c r="AD238">
        <f>AC238/3270*1000</f>
        <v>205.19877675840979</v>
      </c>
      <c r="AE238">
        <v>4</v>
      </c>
      <c r="AF238">
        <v>40</v>
      </c>
      <c r="AG238">
        <v>2</v>
      </c>
      <c r="AH238">
        <v>65</v>
      </c>
      <c r="AI238">
        <v>5</v>
      </c>
      <c r="AJ238">
        <v>40</v>
      </c>
      <c r="AK238">
        <v>0</v>
      </c>
      <c r="AL238">
        <v>0</v>
      </c>
      <c r="AM238" s="30">
        <v>42</v>
      </c>
      <c r="AN238">
        <v>450</v>
      </c>
      <c r="AO238">
        <v>450</v>
      </c>
      <c r="AP238" t="s">
        <v>57</v>
      </c>
      <c r="AQ238" s="30" t="s">
        <v>256</v>
      </c>
      <c r="AR238">
        <v>19.100000000000001</v>
      </c>
      <c r="AS238">
        <v>287</v>
      </c>
      <c r="AT238">
        <v>535</v>
      </c>
      <c r="AU238">
        <f>AT238/2610*1000</f>
        <v>204.9808429118774</v>
      </c>
      <c r="AV238" t="s">
        <v>40</v>
      </c>
      <c r="AW238">
        <v>45</v>
      </c>
      <c r="AX238">
        <v>4</v>
      </c>
      <c r="AY238">
        <v>6.35</v>
      </c>
      <c r="AZ238">
        <v>31.7</v>
      </c>
      <c r="BA238">
        <v>671</v>
      </c>
      <c r="BB238">
        <f>BA238/3270*1000</f>
        <v>205.19877675840979</v>
      </c>
      <c r="BC238">
        <v>5</v>
      </c>
      <c r="BD238">
        <v>60</v>
      </c>
      <c r="BE238">
        <v>2</v>
      </c>
      <c r="BF238">
        <v>135</v>
      </c>
      <c r="BG238">
        <v>5</v>
      </c>
      <c r="BH238">
        <v>60</v>
      </c>
      <c r="BI238">
        <v>2</v>
      </c>
      <c r="BJ238">
        <v>135</v>
      </c>
      <c r="BK238" s="30">
        <v>60</v>
      </c>
      <c r="BL238" s="30">
        <v>0</v>
      </c>
      <c r="BM238" t="s">
        <v>379</v>
      </c>
      <c r="BN238" t="s">
        <v>785</v>
      </c>
      <c r="BP238" s="30">
        <v>31.7</v>
      </c>
      <c r="BQ238">
        <v>5</v>
      </c>
      <c r="BR238">
        <v>20</v>
      </c>
      <c r="BS238">
        <v>671</v>
      </c>
      <c r="BT238" s="1">
        <v>205</v>
      </c>
      <c r="BU238" s="75">
        <v>0.38</v>
      </c>
    </row>
    <row r="239" spans="1:74" s="3" customFormat="1">
      <c r="A239">
        <v>234</v>
      </c>
      <c r="B239" s="1">
        <v>2</v>
      </c>
      <c r="C239" s="3">
        <v>75</v>
      </c>
      <c r="D239" s="3" t="s">
        <v>303</v>
      </c>
      <c r="E239" s="3">
        <v>2004</v>
      </c>
      <c r="F239" s="3" t="s">
        <v>33</v>
      </c>
      <c r="G239" s="4" t="s">
        <v>160</v>
      </c>
      <c r="H239" s="54" t="s">
        <v>304</v>
      </c>
      <c r="I239" s="3">
        <v>19.600000000000001</v>
      </c>
      <c r="J239" s="3">
        <v>19.600000000000001</v>
      </c>
      <c r="K239" s="3">
        <v>19.600000000000001</v>
      </c>
      <c r="L239" s="3">
        <v>1400</v>
      </c>
      <c r="M239" s="3">
        <v>820</v>
      </c>
      <c r="N239" s="3">
        <v>0</v>
      </c>
      <c r="O239" s="3">
        <v>0</v>
      </c>
      <c r="P239" s="3">
        <v>120</v>
      </c>
      <c r="Q239" s="3">
        <v>200</v>
      </c>
      <c r="R239" s="3" t="s">
        <v>62</v>
      </c>
      <c r="S239" s="9" t="s">
        <v>76</v>
      </c>
      <c r="T239" s="3">
        <v>12.7</v>
      </c>
      <c r="U239" s="3">
        <v>127</v>
      </c>
      <c r="V239" s="4">
        <v>355</v>
      </c>
      <c r="W239" s="4">
        <v>205</v>
      </c>
      <c r="X239" s="3" t="s">
        <v>305</v>
      </c>
      <c r="Y239" s="3">
        <v>50</v>
      </c>
      <c r="Z239" s="3">
        <v>2</v>
      </c>
      <c r="AA239" s="3">
        <v>3.2</v>
      </c>
      <c r="AB239" s="3">
        <v>8</v>
      </c>
      <c r="AC239" s="3">
        <v>204</v>
      </c>
      <c r="AE239" s="3">
        <v>3</v>
      </c>
      <c r="AF239" s="3">
        <v>30</v>
      </c>
      <c r="AG239" s="3">
        <v>0</v>
      </c>
      <c r="AH239" s="3">
        <v>0</v>
      </c>
      <c r="AI239" s="3">
        <v>3</v>
      </c>
      <c r="AJ239" s="3">
        <v>30</v>
      </c>
      <c r="AK239" s="3">
        <v>0</v>
      </c>
      <c r="AL239" s="3">
        <v>0</v>
      </c>
      <c r="AM239" s="9"/>
      <c r="AN239" s="3">
        <v>200</v>
      </c>
      <c r="AO239" s="3">
        <v>200</v>
      </c>
      <c r="AP239" s="3" t="s">
        <v>62</v>
      </c>
      <c r="AQ239" s="9" t="s">
        <v>76</v>
      </c>
      <c r="AR239" s="3">
        <v>12.7</v>
      </c>
      <c r="AS239" s="3">
        <v>127</v>
      </c>
      <c r="AT239" s="3">
        <v>355</v>
      </c>
      <c r="AU239" s="3">
        <v>205</v>
      </c>
      <c r="AV239" s="3" t="s">
        <v>305</v>
      </c>
      <c r="AW239" s="3">
        <v>25</v>
      </c>
      <c r="AX239" s="3">
        <v>2</v>
      </c>
      <c r="AY239" s="3">
        <v>3.2</v>
      </c>
      <c r="AZ239" s="3">
        <v>8</v>
      </c>
      <c r="BA239" s="3">
        <v>204</v>
      </c>
      <c r="BC239" s="3">
        <v>4</v>
      </c>
      <c r="BD239" s="3">
        <v>30</v>
      </c>
      <c r="BE239" s="3">
        <v>2</v>
      </c>
      <c r="BF239" s="3">
        <v>42</v>
      </c>
      <c r="BG239" s="3">
        <v>4</v>
      </c>
      <c r="BH239" s="3">
        <v>30</v>
      </c>
      <c r="BI239" s="3">
        <v>2</v>
      </c>
      <c r="BJ239" s="3">
        <v>42</v>
      </c>
      <c r="BK239" s="9"/>
      <c r="BL239" s="9">
        <v>0</v>
      </c>
      <c r="BM239" s="3" t="s">
        <v>166</v>
      </c>
      <c r="BO239" s="9"/>
      <c r="BP239" s="9"/>
      <c r="BQ239" s="3">
        <v>5</v>
      </c>
      <c r="BR239" s="3">
        <v>10</v>
      </c>
      <c r="BS239" s="3">
        <v>204</v>
      </c>
      <c r="BT239" s="3">
        <v>205</v>
      </c>
      <c r="BU239" s="84"/>
      <c r="BV239" s="3" t="s">
        <v>801</v>
      </c>
    </row>
    <row r="240" spans="1:74">
      <c r="A240">
        <v>235</v>
      </c>
      <c r="B240" s="1">
        <v>1</v>
      </c>
      <c r="C240">
        <v>76</v>
      </c>
      <c r="D240" t="s">
        <v>47</v>
      </c>
      <c r="E240">
        <v>2004</v>
      </c>
      <c r="F240" t="s">
        <v>33</v>
      </c>
      <c r="G240" s="7" t="s">
        <v>605</v>
      </c>
      <c r="H240" s="1" t="s">
        <v>306</v>
      </c>
      <c r="I240" s="7">
        <v>66</v>
      </c>
      <c r="J240" s="7">
        <v>66</v>
      </c>
      <c r="K240" s="7">
        <v>66</v>
      </c>
      <c r="L240" s="7">
        <v>2800</v>
      </c>
      <c r="M240" s="7">
        <v>1600</v>
      </c>
      <c r="N240" s="7">
        <v>0</v>
      </c>
      <c r="O240">
        <f>0.2*475*475*66/1000</f>
        <v>2978.25</v>
      </c>
      <c r="P240" s="7">
        <v>340</v>
      </c>
      <c r="Q240" s="7">
        <v>425</v>
      </c>
      <c r="R240" s="7" t="s">
        <v>599</v>
      </c>
      <c r="S240" s="31" t="s">
        <v>597</v>
      </c>
      <c r="T240" s="7">
        <v>22.2</v>
      </c>
      <c r="U240" s="7">
        <v>387</v>
      </c>
      <c r="V240" s="7">
        <v>705</v>
      </c>
      <c r="W240" s="7">
        <v>189</v>
      </c>
      <c r="X240" s="7" t="s">
        <v>600</v>
      </c>
      <c r="Y240" s="7">
        <v>60</v>
      </c>
      <c r="Z240" s="7">
        <v>4</v>
      </c>
      <c r="AA240" s="7">
        <v>3.2</v>
      </c>
      <c r="AB240" s="7">
        <v>31.7</v>
      </c>
      <c r="AC240" s="7">
        <v>870</v>
      </c>
      <c r="AD240" s="7">
        <v>181</v>
      </c>
      <c r="AE240" s="7">
        <v>4</v>
      </c>
      <c r="AF240" s="7">
        <v>32.5</v>
      </c>
      <c r="AG240" s="7">
        <v>0</v>
      </c>
      <c r="AH240" s="7">
        <v>0</v>
      </c>
      <c r="AI240" s="7">
        <v>4</v>
      </c>
      <c r="AJ240" s="7">
        <v>32.5</v>
      </c>
      <c r="AK240" s="7">
        <v>0</v>
      </c>
      <c r="AL240" s="7">
        <v>0</v>
      </c>
      <c r="AN240" s="7">
        <v>475</v>
      </c>
      <c r="AO240" s="7">
        <v>475</v>
      </c>
      <c r="AP240" s="7" t="s">
        <v>602</v>
      </c>
      <c r="AQ240" s="31" t="s">
        <v>603</v>
      </c>
      <c r="AR240" s="7">
        <v>22.2</v>
      </c>
      <c r="AS240" s="7">
        <v>387</v>
      </c>
      <c r="AT240" s="7">
        <v>511</v>
      </c>
      <c r="AU240" s="7">
        <v>200</v>
      </c>
      <c r="AV240" s="7" t="s">
        <v>600</v>
      </c>
      <c r="AW240" s="7">
        <v>50</v>
      </c>
      <c r="AX240" s="7">
        <v>4</v>
      </c>
      <c r="AY240" s="7">
        <v>6.35</v>
      </c>
      <c r="AZ240" s="7">
        <v>31.7</v>
      </c>
      <c r="BA240" s="7">
        <v>870</v>
      </c>
      <c r="BB240" s="7">
        <v>181</v>
      </c>
      <c r="BC240" s="7">
        <v>4</v>
      </c>
      <c r="BD240" s="7">
        <v>51</v>
      </c>
      <c r="BE240" s="7">
        <v>2</v>
      </c>
      <c r="BF240" s="7">
        <v>124</v>
      </c>
      <c r="BG240" s="7">
        <v>4</v>
      </c>
      <c r="BH240" s="7">
        <v>51</v>
      </c>
      <c r="BI240" s="7">
        <v>2</v>
      </c>
      <c r="BJ240" s="7">
        <v>124</v>
      </c>
      <c r="BM240" s="7" t="s">
        <v>604</v>
      </c>
      <c r="BN240" s="7" t="s">
        <v>706</v>
      </c>
      <c r="BO240" s="31"/>
      <c r="BP240" s="31">
        <v>31.7</v>
      </c>
      <c r="BQ240" s="7">
        <v>4</v>
      </c>
      <c r="BR240" s="7">
        <v>16</v>
      </c>
      <c r="BS240">
        <v>870</v>
      </c>
      <c r="BT240" s="7">
        <v>181</v>
      </c>
      <c r="BU240" s="48">
        <v>0.36</v>
      </c>
    </row>
    <row r="241" spans="1:74">
      <c r="A241">
        <v>236</v>
      </c>
      <c r="B241" s="1">
        <v>1</v>
      </c>
      <c r="G241" s="7" t="s">
        <v>606</v>
      </c>
      <c r="H241" s="1" t="s">
        <v>307</v>
      </c>
      <c r="I241" s="7">
        <v>66</v>
      </c>
      <c r="J241" s="7">
        <v>66</v>
      </c>
      <c r="K241" s="7">
        <v>66</v>
      </c>
      <c r="L241" s="7">
        <v>2800</v>
      </c>
      <c r="M241" s="7">
        <v>1600</v>
      </c>
      <c r="N241" s="7">
        <v>0</v>
      </c>
      <c r="O241">
        <f>0.2*475*475*66/1000</f>
        <v>2978.25</v>
      </c>
      <c r="P241" s="7">
        <v>340</v>
      </c>
      <c r="Q241" s="7">
        <v>425</v>
      </c>
      <c r="R241" s="7" t="s">
        <v>599</v>
      </c>
      <c r="S241" s="31" t="s">
        <v>598</v>
      </c>
      <c r="T241" s="7">
        <v>22.2</v>
      </c>
      <c r="U241" s="7">
        <v>387</v>
      </c>
      <c r="V241" s="7">
        <v>511</v>
      </c>
      <c r="W241" s="7">
        <v>200</v>
      </c>
      <c r="X241" s="7" t="s">
        <v>601</v>
      </c>
      <c r="Y241" s="7">
        <v>60</v>
      </c>
      <c r="Z241" s="7">
        <v>4</v>
      </c>
      <c r="AA241" s="7">
        <v>3.2</v>
      </c>
      <c r="AB241" s="7">
        <v>31.7</v>
      </c>
      <c r="AC241" s="7">
        <v>870</v>
      </c>
      <c r="AD241" s="7">
        <v>181</v>
      </c>
      <c r="AE241" s="7">
        <v>4</v>
      </c>
      <c r="AF241" s="7">
        <v>32.5</v>
      </c>
      <c r="AG241" s="7">
        <v>2</v>
      </c>
      <c r="AH241" s="7">
        <v>55</v>
      </c>
      <c r="AI241" s="7">
        <v>4</v>
      </c>
      <c r="AJ241" s="7">
        <v>32.5</v>
      </c>
      <c r="AK241" s="7">
        <v>2</v>
      </c>
      <c r="AL241" s="7">
        <v>55</v>
      </c>
      <c r="AN241" s="7">
        <v>475</v>
      </c>
      <c r="AO241" s="7">
        <v>475</v>
      </c>
      <c r="AP241" s="7" t="s">
        <v>599</v>
      </c>
      <c r="AQ241" s="31" t="s">
        <v>603</v>
      </c>
      <c r="AR241" s="7">
        <v>22.2</v>
      </c>
      <c r="AS241" s="7">
        <v>387</v>
      </c>
      <c r="AT241" s="7">
        <v>511</v>
      </c>
      <c r="AU241" s="7">
        <v>200</v>
      </c>
      <c r="AV241" s="7" t="s">
        <v>600</v>
      </c>
      <c r="AW241" s="7">
        <v>50</v>
      </c>
      <c r="AX241" s="7">
        <v>4</v>
      </c>
      <c r="AY241" s="7">
        <v>6.35</v>
      </c>
      <c r="AZ241" s="7">
        <v>31.7</v>
      </c>
      <c r="BA241" s="7">
        <v>870</v>
      </c>
      <c r="BB241" s="7">
        <v>181</v>
      </c>
      <c r="BC241" s="7">
        <v>4</v>
      </c>
      <c r="BD241" s="7">
        <v>51</v>
      </c>
      <c r="BE241" s="7">
        <v>2</v>
      </c>
      <c r="BF241" s="7">
        <v>124</v>
      </c>
      <c r="BG241" s="7">
        <v>4</v>
      </c>
      <c r="BH241" s="7">
        <v>51</v>
      </c>
      <c r="BI241" s="7">
        <v>2</v>
      </c>
      <c r="BJ241" s="7">
        <v>124</v>
      </c>
      <c r="BM241" s="7" t="s">
        <v>604</v>
      </c>
      <c r="BN241" s="7" t="s">
        <v>706</v>
      </c>
      <c r="BO241" s="31"/>
      <c r="BP241" s="31">
        <v>31.7</v>
      </c>
      <c r="BQ241" s="7">
        <v>4</v>
      </c>
      <c r="BR241" s="7">
        <v>16</v>
      </c>
      <c r="BS241">
        <v>870</v>
      </c>
      <c r="BT241" s="7">
        <v>181</v>
      </c>
      <c r="BU241" s="48">
        <v>0.36</v>
      </c>
    </row>
    <row r="242" spans="1:74" s="5" customFormat="1">
      <c r="A242">
        <v>237</v>
      </c>
      <c r="B242" s="1">
        <v>1</v>
      </c>
      <c r="C242" s="5">
        <v>77</v>
      </c>
      <c r="D242" s="5" t="s">
        <v>97</v>
      </c>
      <c r="E242" s="5">
        <v>2004</v>
      </c>
      <c r="F242" s="5" t="s">
        <v>27</v>
      </c>
      <c r="G242" s="6" t="s">
        <v>158</v>
      </c>
      <c r="H242" s="6" t="s">
        <v>308</v>
      </c>
      <c r="I242" s="5">
        <v>42</v>
      </c>
      <c r="J242" s="5">
        <v>42</v>
      </c>
      <c r="K242" s="5">
        <f>J242</f>
        <v>42</v>
      </c>
      <c r="L242" s="5">
        <v>3200</v>
      </c>
      <c r="M242" s="5">
        <v>1500</v>
      </c>
      <c r="N242" s="5">
        <v>0</v>
      </c>
      <c r="O242" s="5">
        <f>0.08*AN242*AO242*J242/1000</f>
        <v>739.2</v>
      </c>
      <c r="P242" s="5">
        <v>325</v>
      </c>
      <c r="Q242" s="5">
        <v>375</v>
      </c>
      <c r="R242" s="5" t="s">
        <v>162</v>
      </c>
      <c r="S242" s="8" t="s">
        <v>256</v>
      </c>
      <c r="T242" s="5">
        <v>22.2</v>
      </c>
      <c r="U242" s="5">
        <v>387</v>
      </c>
      <c r="V242" s="6">
        <v>539</v>
      </c>
      <c r="W242" s="6">
        <v>205</v>
      </c>
      <c r="X242" s="5" t="s">
        <v>153</v>
      </c>
      <c r="Y242" s="5">
        <v>75</v>
      </c>
      <c r="Z242" s="5">
        <v>3</v>
      </c>
      <c r="AA242" s="5">
        <v>9.5299999999999994</v>
      </c>
      <c r="AB242" s="5">
        <v>71.3</v>
      </c>
      <c r="AC242" s="5">
        <v>457</v>
      </c>
      <c r="AD242" s="5">
        <v>205</v>
      </c>
      <c r="AE242" s="5">
        <v>3</v>
      </c>
      <c r="AF242" s="5">
        <v>60</v>
      </c>
      <c r="AG242" s="5">
        <v>2</v>
      </c>
      <c r="AH242" s="5">
        <v>60</v>
      </c>
      <c r="AI242" s="5">
        <v>3</v>
      </c>
      <c r="AJ242" s="5">
        <v>60</v>
      </c>
      <c r="AK242" s="5">
        <v>2</v>
      </c>
      <c r="AL242" s="5">
        <v>60</v>
      </c>
      <c r="AM242" s="8">
        <v>60</v>
      </c>
      <c r="AN242" s="5">
        <v>400</v>
      </c>
      <c r="AO242" s="5">
        <v>550</v>
      </c>
      <c r="AP242" s="5" t="s">
        <v>39</v>
      </c>
      <c r="AQ242" s="8" t="s">
        <v>243</v>
      </c>
      <c r="AR242" s="5">
        <v>15.9</v>
      </c>
      <c r="AS242" s="5">
        <v>199</v>
      </c>
      <c r="AT242" s="5">
        <v>479</v>
      </c>
      <c r="AU242" s="5">
        <v>205</v>
      </c>
      <c r="AV242" s="5" t="s">
        <v>153</v>
      </c>
      <c r="AW242" s="5">
        <v>80</v>
      </c>
      <c r="AX242" s="5">
        <v>4</v>
      </c>
      <c r="AY242" s="5">
        <v>9.5299999999999994</v>
      </c>
      <c r="AZ242" s="5">
        <v>71.3</v>
      </c>
      <c r="BA242" s="5">
        <v>457</v>
      </c>
      <c r="BB242" s="5">
        <v>205</v>
      </c>
      <c r="BC242" s="5">
        <v>5</v>
      </c>
      <c r="BD242" s="5">
        <v>50</v>
      </c>
      <c r="BE242" s="5">
        <v>2</v>
      </c>
      <c r="BF242" s="5">
        <v>100</v>
      </c>
      <c r="BG242" s="5">
        <v>5</v>
      </c>
      <c r="BH242" s="5">
        <v>50</v>
      </c>
      <c r="BI242" s="5">
        <v>2</v>
      </c>
      <c r="BJ242" s="5">
        <v>100</v>
      </c>
      <c r="BK242" s="8">
        <v>50</v>
      </c>
      <c r="BL242" s="8">
        <v>0</v>
      </c>
      <c r="BM242" s="5" t="s">
        <v>166</v>
      </c>
      <c r="BN242" s="7" t="s">
        <v>787</v>
      </c>
      <c r="BO242" s="8"/>
      <c r="BP242" s="8">
        <v>71.3</v>
      </c>
      <c r="BQ242" s="5">
        <v>3</v>
      </c>
      <c r="BR242" s="5">
        <v>6</v>
      </c>
      <c r="BS242" s="5">
        <v>457</v>
      </c>
      <c r="BT242" s="5">
        <v>205</v>
      </c>
      <c r="BU242" s="83">
        <v>0.71</v>
      </c>
    </row>
    <row r="243" spans="1:74">
      <c r="A243">
        <v>238</v>
      </c>
      <c r="B243" s="1">
        <v>1</v>
      </c>
      <c r="C243">
        <v>78</v>
      </c>
      <c r="D243" t="s">
        <v>98</v>
      </c>
      <c r="E243">
        <v>2004</v>
      </c>
      <c r="F243" t="s">
        <v>27</v>
      </c>
      <c r="G243" s="1" t="s">
        <v>84</v>
      </c>
      <c r="H243" s="1" t="s">
        <v>309</v>
      </c>
      <c r="I243">
        <v>150</v>
      </c>
      <c r="J243">
        <f>(140+151)/2</f>
        <v>145.5</v>
      </c>
      <c r="K243">
        <v>140</v>
      </c>
      <c r="L243">
        <v>3450</v>
      </c>
      <c r="M243">
        <v>2700</v>
      </c>
      <c r="N243">
        <v>0</v>
      </c>
      <c r="O243">
        <v>2240</v>
      </c>
      <c r="P243">
        <v>350</v>
      </c>
      <c r="Q243">
        <v>400</v>
      </c>
      <c r="R243" t="s">
        <v>57</v>
      </c>
      <c r="S243" s="30" t="s">
        <v>310</v>
      </c>
      <c r="T243">
        <v>19.100000000000001</v>
      </c>
      <c r="U243">
        <v>287</v>
      </c>
      <c r="V243" s="1">
        <v>1054</v>
      </c>
      <c r="W243" s="1">
        <v>201</v>
      </c>
      <c r="X243" t="s">
        <v>311</v>
      </c>
      <c r="Y243">
        <v>50</v>
      </c>
      <c r="Z243">
        <v>2</v>
      </c>
      <c r="AA243">
        <v>7.1</v>
      </c>
      <c r="AB243">
        <v>40</v>
      </c>
      <c r="AC243">
        <v>1437</v>
      </c>
      <c r="AD243">
        <v>205</v>
      </c>
      <c r="AE243">
        <v>5</v>
      </c>
      <c r="AF243">
        <v>45</v>
      </c>
      <c r="AG243">
        <v>2</v>
      </c>
      <c r="AH243">
        <v>50</v>
      </c>
      <c r="AI243">
        <v>5</v>
      </c>
      <c r="AJ243">
        <v>45</v>
      </c>
      <c r="AK243">
        <v>2</v>
      </c>
      <c r="AL243">
        <v>50</v>
      </c>
      <c r="AM243" s="30">
        <v>50</v>
      </c>
      <c r="AN243">
        <v>400</v>
      </c>
      <c r="AO243">
        <v>400</v>
      </c>
      <c r="AP243" t="s">
        <v>57</v>
      </c>
      <c r="AQ243" s="30" t="s">
        <v>310</v>
      </c>
      <c r="AR243">
        <v>19.100000000000001</v>
      </c>
      <c r="AS243">
        <v>287</v>
      </c>
      <c r="AT243">
        <v>1054</v>
      </c>
      <c r="AU243">
        <v>205</v>
      </c>
      <c r="AV243" t="s">
        <v>312</v>
      </c>
      <c r="AW243">
        <v>100</v>
      </c>
      <c r="AX243">
        <v>4</v>
      </c>
      <c r="AY243">
        <v>9</v>
      </c>
      <c r="AZ243">
        <v>64</v>
      </c>
      <c r="BA243">
        <v>1381</v>
      </c>
      <c r="BB243">
        <v>205</v>
      </c>
      <c r="BC243">
        <v>6</v>
      </c>
      <c r="BD243">
        <v>45</v>
      </c>
      <c r="BE243">
        <v>4</v>
      </c>
      <c r="BF243">
        <v>50</v>
      </c>
      <c r="BG243">
        <v>6</v>
      </c>
      <c r="BH243">
        <v>45</v>
      </c>
      <c r="BI243">
        <v>4</v>
      </c>
      <c r="BJ243">
        <v>50</v>
      </c>
      <c r="BK243" s="30">
        <v>45</v>
      </c>
      <c r="BL243" s="30">
        <v>0</v>
      </c>
      <c r="BM243" t="s">
        <v>792</v>
      </c>
      <c r="BN243" s="7" t="s">
        <v>793</v>
      </c>
      <c r="BP243" s="30">
        <v>64</v>
      </c>
      <c r="BQ243">
        <v>2</v>
      </c>
      <c r="BR243">
        <v>8</v>
      </c>
      <c r="BS243">
        <v>1381</v>
      </c>
      <c r="BT243">
        <v>205</v>
      </c>
    </row>
    <row r="244" spans="1:74">
      <c r="A244">
        <v>239</v>
      </c>
      <c r="B244" s="1">
        <v>1</v>
      </c>
      <c r="G244" s="1" t="s">
        <v>158</v>
      </c>
      <c r="H244" s="1" t="s">
        <v>313</v>
      </c>
      <c r="I244">
        <v>71.5</v>
      </c>
      <c r="J244">
        <f>(150+153)/2</f>
        <v>151.5</v>
      </c>
      <c r="K244">
        <v>150</v>
      </c>
      <c r="L244">
        <v>3450</v>
      </c>
      <c r="M244">
        <v>2700</v>
      </c>
      <c r="N244">
        <v>0</v>
      </c>
      <c r="O244">
        <v>2240</v>
      </c>
      <c r="P244">
        <v>350</v>
      </c>
      <c r="Q244">
        <v>400</v>
      </c>
      <c r="R244" t="s">
        <v>57</v>
      </c>
      <c r="S244" s="30" t="s">
        <v>256</v>
      </c>
      <c r="T244">
        <v>19.100000000000001</v>
      </c>
      <c r="U244">
        <v>287</v>
      </c>
      <c r="V244" s="1">
        <v>538</v>
      </c>
      <c r="W244" s="1">
        <v>195</v>
      </c>
      <c r="X244" t="s">
        <v>311</v>
      </c>
      <c r="Y244">
        <v>50</v>
      </c>
      <c r="Z244">
        <v>2</v>
      </c>
      <c r="AA244">
        <v>7.1</v>
      </c>
      <c r="AB244">
        <v>40</v>
      </c>
      <c r="AC244">
        <v>1437</v>
      </c>
      <c r="AD244">
        <v>205</v>
      </c>
      <c r="AE244">
        <v>4</v>
      </c>
      <c r="AF244">
        <v>45</v>
      </c>
      <c r="AG244">
        <v>2</v>
      </c>
      <c r="AH244">
        <v>50</v>
      </c>
      <c r="AI244">
        <v>4</v>
      </c>
      <c r="AJ244">
        <v>45</v>
      </c>
      <c r="AK244">
        <v>2</v>
      </c>
      <c r="AL244">
        <v>50</v>
      </c>
      <c r="AM244" s="30">
        <v>50</v>
      </c>
      <c r="AN244">
        <v>400</v>
      </c>
      <c r="AO244">
        <v>400</v>
      </c>
      <c r="AP244" t="s">
        <v>57</v>
      </c>
      <c r="AQ244" s="30" t="s">
        <v>251</v>
      </c>
      <c r="AR244">
        <v>19.100000000000001</v>
      </c>
      <c r="AS244">
        <v>287</v>
      </c>
      <c r="AT244">
        <v>710</v>
      </c>
      <c r="AU244">
        <v>205</v>
      </c>
      <c r="AV244" t="s">
        <v>312</v>
      </c>
      <c r="AW244">
        <v>100</v>
      </c>
      <c r="AX244">
        <v>4</v>
      </c>
      <c r="AY244">
        <v>9</v>
      </c>
      <c r="AZ244">
        <v>64</v>
      </c>
      <c r="BA244">
        <v>1381</v>
      </c>
      <c r="BB244">
        <v>205</v>
      </c>
      <c r="BC244">
        <v>5</v>
      </c>
      <c r="BD244">
        <v>45</v>
      </c>
      <c r="BE244">
        <v>4</v>
      </c>
      <c r="BF244">
        <v>50</v>
      </c>
      <c r="BG244">
        <v>5</v>
      </c>
      <c r="BH244">
        <v>45</v>
      </c>
      <c r="BI244">
        <v>4</v>
      </c>
      <c r="BJ244">
        <v>50</v>
      </c>
      <c r="BK244" s="30">
        <v>45</v>
      </c>
      <c r="BL244" s="30">
        <v>0</v>
      </c>
      <c r="BM244" t="s">
        <v>792</v>
      </c>
      <c r="BN244" s="7" t="s">
        <v>793</v>
      </c>
      <c r="BP244" s="30">
        <v>64</v>
      </c>
      <c r="BQ244">
        <v>2</v>
      </c>
      <c r="BR244">
        <v>8</v>
      </c>
      <c r="BS244">
        <v>1381</v>
      </c>
      <c r="BT244">
        <v>205</v>
      </c>
    </row>
    <row r="245" spans="1:74">
      <c r="A245">
        <v>240</v>
      </c>
      <c r="B245" s="1">
        <v>1</v>
      </c>
      <c r="C245">
        <v>79</v>
      </c>
      <c r="D245" t="s">
        <v>99</v>
      </c>
      <c r="E245">
        <v>2004</v>
      </c>
      <c r="F245" t="s">
        <v>27</v>
      </c>
      <c r="G245" s="1" t="s">
        <v>160</v>
      </c>
      <c r="H245" s="1" t="s">
        <v>314</v>
      </c>
      <c r="I245">
        <v>74.2</v>
      </c>
      <c r="J245">
        <f>74.2/2+55.5/2</f>
        <v>64.849999999999994</v>
      </c>
      <c r="K245">
        <v>74.2</v>
      </c>
      <c r="L245">
        <v>2550</v>
      </c>
      <c r="M245">
        <v>2200</v>
      </c>
      <c r="N245">
        <v>0</v>
      </c>
      <c r="O245">
        <v>960</v>
      </c>
      <c r="P245">
        <v>280</v>
      </c>
      <c r="Q245">
        <v>400</v>
      </c>
      <c r="R245" t="s">
        <v>57</v>
      </c>
      <c r="S245" s="30" t="s">
        <v>256</v>
      </c>
      <c r="T245">
        <v>19.100000000000001</v>
      </c>
      <c r="U245">
        <v>287</v>
      </c>
      <c r="V245" s="1">
        <v>538</v>
      </c>
      <c r="W245" s="1">
        <v>195</v>
      </c>
      <c r="X245" t="s">
        <v>153</v>
      </c>
      <c r="Y245">
        <v>65</v>
      </c>
      <c r="Z245">
        <v>2</v>
      </c>
      <c r="AA245">
        <v>9.5299999999999994</v>
      </c>
      <c r="AB245">
        <v>71.3</v>
      </c>
      <c r="AC245">
        <v>944</v>
      </c>
      <c r="AD245">
        <v>205</v>
      </c>
      <c r="AE245">
        <v>4</v>
      </c>
      <c r="AF245">
        <v>45</v>
      </c>
      <c r="AG245">
        <v>3</v>
      </c>
      <c r="AH245">
        <v>50</v>
      </c>
      <c r="AI245">
        <v>4</v>
      </c>
      <c r="AJ245">
        <v>45</v>
      </c>
      <c r="AK245">
        <v>0</v>
      </c>
      <c r="AL245">
        <v>0</v>
      </c>
      <c r="AM245" s="30">
        <v>45</v>
      </c>
      <c r="AN245">
        <v>400</v>
      </c>
      <c r="AO245">
        <v>400</v>
      </c>
      <c r="AP245" t="s">
        <v>57</v>
      </c>
      <c r="AQ245" s="30" t="s">
        <v>256</v>
      </c>
      <c r="AR245">
        <v>19.100000000000001</v>
      </c>
      <c r="AS245">
        <v>287</v>
      </c>
      <c r="AT245">
        <v>538</v>
      </c>
      <c r="AU245">
        <v>195</v>
      </c>
      <c r="AV245" t="s">
        <v>153</v>
      </c>
      <c r="AW245">
        <v>90</v>
      </c>
      <c r="AX245">
        <v>4</v>
      </c>
      <c r="AY245">
        <v>9.5299999999999994</v>
      </c>
      <c r="AZ245">
        <v>71.3</v>
      </c>
      <c r="BA245">
        <v>944</v>
      </c>
      <c r="BB245">
        <v>205</v>
      </c>
      <c r="BC245">
        <v>5</v>
      </c>
      <c r="BD245">
        <v>45</v>
      </c>
      <c r="BE245">
        <v>2</v>
      </c>
      <c r="BF245">
        <v>60</v>
      </c>
      <c r="BG245">
        <v>5</v>
      </c>
      <c r="BH245">
        <v>45</v>
      </c>
      <c r="BI245">
        <v>2</v>
      </c>
      <c r="BJ245">
        <v>60</v>
      </c>
      <c r="BK245" s="30">
        <v>45</v>
      </c>
      <c r="BL245" s="30">
        <v>0</v>
      </c>
      <c r="BM245" t="s">
        <v>166</v>
      </c>
      <c r="BN245" s="7" t="s">
        <v>787</v>
      </c>
      <c r="BP245" s="30">
        <v>71.3</v>
      </c>
      <c r="BQ245">
        <v>2</v>
      </c>
      <c r="BR245">
        <v>4</v>
      </c>
      <c r="BS245">
        <v>944</v>
      </c>
      <c r="BT245">
        <v>205</v>
      </c>
      <c r="BU245" s="23">
        <v>0.18</v>
      </c>
    </row>
    <row r="246" spans="1:74">
      <c r="A246">
        <v>241</v>
      </c>
      <c r="B246" s="1">
        <v>1</v>
      </c>
      <c r="C246">
        <v>80</v>
      </c>
      <c r="D246" t="s">
        <v>100</v>
      </c>
      <c r="E246">
        <v>2004</v>
      </c>
      <c r="F246" t="s">
        <v>27</v>
      </c>
      <c r="G246" s="1" t="s">
        <v>158</v>
      </c>
      <c r="H246" s="1" t="s">
        <v>315</v>
      </c>
      <c r="I246">
        <v>57.8</v>
      </c>
      <c r="J246">
        <v>98.3</v>
      </c>
      <c r="K246">
        <f>J246</f>
        <v>98.3</v>
      </c>
      <c r="L246">
        <v>3000</v>
      </c>
      <c r="M246">
        <v>1600</v>
      </c>
      <c r="N246">
        <v>0</v>
      </c>
      <c r="O246">
        <v>3136</v>
      </c>
      <c r="P246">
        <v>240</v>
      </c>
      <c r="Q246">
        <v>390</v>
      </c>
      <c r="R246" t="s">
        <v>57</v>
      </c>
      <c r="S246" s="30" t="s">
        <v>256</v>
      </c>
      <c r="T246">
        <v>19.100000000000001</v>
      </c>
      <c r="U246">
        <v>287</v>
      </c>
      <c r="V246" s="1">
        <v>529</v>
      </c>
      <c r="W246" s="1">
        <f>V246/2.99</f>
        <v>176.92307692307691</v>
      </c>
      <c r="X246" t="s">
        <v>311</v>
      </c>
      <c r="Y246">
        <v>70</v>
      </c>
      <c r="Z246">
        <v>2</v>
      </c>
      <c r="AA246">
        <v>7.1</v>
      </c>
      <c r="AB246">
        <v>40</v>
      </c>
      <c r="AC246">
        <v>1389</v>
      </c>
      <c r="AD246">
        <f>AC246/7.12</f>
        <v>195.08426966292134</v>
      </c>
      <c r="AE246">
        <v>4</v>
      </c>
      <c r="AF246">
        <v>36</v>
      </c>
      <c r="AG246">
        <v>0</v>
      </c>
      <c r="AH246">
        <v>0</v>
      </c>
      <c r="AI246">
        <v>4</v>
      </c>
      <c r="AJ246">
        <v>36</v>
      </c>
      <c r="AK246">
        <v>0</v>
      </c>
      <c r="AL246">
        <v>0</v>
      </c>
      <c r="AM246" s="30">
        <v>36</v>
      </c>
      <c r="AN246">
        <v>400</v>
      </c>
      <c r="AO246">
        <v>400</v>
      </c>
      <c r="AP246" t="s">
        <v>57</v>
      </c>
      <c r="AQ246" s="30" t="s">
        <v>256</v>
      </c>
      <c r="AR246">
        <v>19.100000000000001</v>
      </c>
      <c r="AS246">
        <v>287</v>
      </c>
      <c r="AT246">
        <v>529</v>
      </c>
      <c r="AU246">
        <f>AT246/2.99</f>
        <v>176.92307692307691</v>
      </c>
      <c r="AV246" t="s">
        <v>311</v>
      </c>
      <c r="AW246">
        <v>50</v>
      </c>
      <c r="AX246">
        <v>4</v>
      </c>
      <c r="AY246">
        <v>7.1</v>
      </c>
      <c r="AZ246">
        <v>40</v>
      </c>
      <c r="BA246">
        <v>1389</v>
      </c>
      <c r="BB246">
        <f>BA246/7.12</f>
        <v>195.08426966292134</v>
      </c>
      <c r="BC246">
        <v>5</v>
      </c>
      <c r="BD246">
        <v>36</v>
      </c>
      <c r="BE246">
        <v>4</v>
      </c>
      <c r="BF246">
        <v>99</v>
      </c>
      <c r="BG246">
        <v>5</v>
      </c>
      <c r="BH246">
        <v>36</v>
      </c>
      <c r="BI246">
        <v>4</v>
      </c>
      <c r="BJ246">
        <v>99</v>
      </c>
      <c r="BK246" s="30">
        <v>36</v>
      </c>
      <c r="BL246" s="30">
        <v>0</v>
      </c>
      <c r="BM246" t="s">
        <v>166</v>
      </c>
      <c r="BN246" s="7" t="s">
        <v>794</v>
      </c>
      <c r="BP246" s="30">
        <v>40</v>
      </c>
      <c r="BQ246">
        <v>7</v>
      </c>
      <c r="BR246">
        <v>14</v>
      </c>
      <c r="BS246">
        <v>1389</v>
      </c>
      <c r="BT246" s="2">
        <f>BS246/7.12</f>
        <v>195.08426966292134</v>
      </c>
      <c r="BU246" s="75">
        <v>0.8</v>
      </c>
    </row>
    <row r="247" spans="1:74">
      <c r="A247">
        <v>242</v>
      </c>
      <c r="B247" s="1">
        <v>1</v>
      </c>
      <c r="C247">
        <v>81</v>
      </c>
      <c r="D247" t="s">
        <v>101</v>
      </c>
      <c r="E247">
        <v>2004</v>
      </c>
      <c r="F247" t="s">
        <v>33</v>
      </c>
      <c r="G247" s="1" t="s">
        <v>158</v>
      </c>
      <c r="H247" s="1" t="s">
        <v>316</v>
      </c>
      <c r="I247">
        <v>71.5</v>
      </c>
      <c r="J247">
        <v>150</v>
      </c>
      <c r="K247">
        <v>150</v>
      </c>
      <c r="L247">
        <v>3450</v>
      </c>
      <c r="M247">
        <v>2700</v>
      </c>
      <c r="N247">
        <v>0</v>
      </c>
      <c r="O247">
        <f>0.1*150*400*400/1000</f>
        <v>2400</v>
      </c>
      <c r="P247">
        <v>350</v>
      </c>
      <c r="Q247">
        <v>400</v>
      </c>
      <c r="R247" t="s">
        <v>57</v>
      </c>
      <c r="S247" s="30" t="s">
        <v>256</v>
      </c>
      <c r="T247">
        <v>19.100000000000001</v>
      </c>
      <c r="U247">
        <v>287</v>
      </c>
      <c r="V247" s="1">
        <v>538</v>
      </c>
      <c r="W247" s="1">
        <v>195</v>
      </c>
      <c r="X247" t="s">
        <v>311</v>
      </c>
      <c r="Y247">
        <v>50</v>
      </c>
      <c r="Z247">
        <v>2</v>
      </c>
      <c r="AA247">
        <v>7.1</v>
      </c>
      <c r="AB247">
        <v>40</v>
      </c>
      <c r="AC247">
        <v>1437</v>
      </c>
      <c r="AD247" s="16">
        <v>205</v>
      </c>
      <c r="AE247">
        <v>4</v>
      </c>
      <c r="AF247">
        <v>45</v>
      </c>
      <c r="AG247">
        <v>2</v>
      </c>
      <c r="AH247">
        <v>65</v>
      </c>
      <c r="AI247">
        <v>4</v>
      </c>
      <c r="AJ247">
        <v>45</v>
      </c>
      <c r="AK247">
        <v>2</v>
      </c>
      <c r="AL247">
        <v>65</v>
      </c>
      <c r="AN247">
        <v>400</v>
      </c>
      <c r="AO247">
        <v>400</v>
      </c>
      <c r="AP247" t="s">
        <v>57</v>
      </c>
      <c r="AQ247" s="30" t="s">
        <v>251</v>
      </c>
      <c r="AR247">
        <v>19.100000000000001</v>
      </c>
      <c r="AS247">
        <v>287</v>
      </c>
      <c r="AT247">
        <v>710</v>
      </c>
      <c r="AU247">
        <v>195</v>
      </c>
      <c r="AV247" t="s">
        <v>312</v>
      </c>
      <c r="AW247">
        <v>100</v>
      </c>
      <c r="AX247">
        <v>4</v>
      </c>
      <c r="AY247">
        <v>9</v>
      </c>
      <c r="AZ247">
        <v>64</v>
      </c>
      <c r="BA247">
        <v>1381</v>
      </c>
      <c r="BC247">
        <v>4</v>
      </c>
      <c r="BD247">
        <v>60</v>
      </c>
      <c r="BE247">
        <v>4</v>
      </c>
      <c r="BF247">
        <v>77.5</v>
      </c>
      <c r="BG247">
        <v>4</v>
      </c>
      <c r="BH247">
        <v>60</v>
      </c>
      <c r="BI247">
        <v>4</v>
      </c>
      <c r="BJ247">
        <v>77.5</v>
      </c>
      <c r="BL247" s="30">
        <v>2</v>
      </c>
      <c r="BM247" t="s">
        <v>379</v>
      </c>
      <c r="BN247" t="s">
        <v>956</v>
      </c>
      <c r="BP247" s="30">
        <v>64</v>
      </c>
      <c r="BQ247">
        <v>2</v>
      </c>
      <c r="BR247">
        <v>8</v>
      </c>
      <c r="BS247">
        <v>1381</v>
      </c>
      <c r="BT247">
        <v>205</v>
      </c>
      <c r="BV247" s="23" t="s">
        <v>777</v>
      </c>
    </row>
    <row r="248" spans="1:74">
      <c r="A248">
        <v>243</v>
      </c>
      <c r="B248" s="1">
        <v>1</v>
      </c>
      <c r="G248" s="1" t="s">
        <v>158</v>
      </c>
      <c r="H248" s="1" t="s">
        <v>317</v>
      </c>
      <c r="I248">
        <v>71.400000000000006</v>
      </c>
      <c r="J248">
        <v>61.8</v>
      </c>
      <c r="K248">
        <v>61.8</v>
      </c>
      <c r="L248">
        <v>3450</v>
      </c>
      <c r="M248">
        <v>2700</v>
      </c>
      <c r="N248">
        <v>0</v>
      </c>
      <c r="O248">
        <f>0.1*60*400*400/1000</f>
        <v>960</v>
      </c>
      <c r="P248">
        <v>350</v>
      </c>
      <c r="Q248">
        <v>400</v>
      </c>
      <c r="R248" t="s">
        <v>57</v>
      </c>
      <c r="S248" s="30" t="s">
        <v>256</v>
      </c>
      <c r="T248">
        <v>19.100000000000001</v>
      </c>
      <c r="U248">
        <v>287</v>
      </c>
      <c r="V248" s="1">
        <v>507</v>
      </c>
      <c r="W248" s="1">
        <v>192</v>
      </c>
      <c r="X248" t="s">
        <v>311</v>
      </c>
      <c r="Y248">
        <v>50</v>
      </c>
      <c r="Z248">
        <v>2</v>
      </c>
      <c r="AA248">
        <v>7.1</v>
      </c>
      <c r="AB248">
        <v>40</v>
      </c>
      <c r="AC248">
        <v>1437</v>
      </c>
      <c r="AD248" s="16">
        <v>205</v>
      </c>
      <c r="AE248">
        <v>4</v>
      </c>
      <c r="AF248">
        <v>45</v>
      </c>
      <c r="AG248">
        <v>0</v>
      </c>
      <c r="AH248">
        <v>0</v>
      </c>
      <c r="AI248">
        <v>4</v>
      </c>
      <c r="AJ248">
        <v>45</v>
      </c>
      <c r="AK248">
        <v>0</v>
      </c>
      <c r="AL248">
        <v>0</v>
      </c>
      <c r="AN248">
        <v>400</v>
      </c>
      <c r="AO248">
        <v>400</v>
      </c>
      <c r="AP248" t="s">
        <v>57</v>
      </c>
      <c r="AQ248" s="30" t="s">
        <v>256</v>
      </c>
      <c r="AR248">
        <v>19.100000000000001</v>
      </c>
      <c r="AS248">
        <v>287</v>
      </c>
      <c r="AT248">
        <v>538</v>
      </c>
      <c r="AU248">
        <v>195</v>
      </c>
      <c r="AV248" t="s">
        <v>312</v>
      </c>
      <c r="AW248">
        <v>100</v>
      </c>
      <c r="AX248">
        <v>4</v>
      </c>
      <c r="AY248">
        <v>9</v>
      </c>
      <c r="AZ248">
        <v>64</v>
      </c>
      <c r="BA248">
        <v>1381</v>
      </c>
      <c r="BC248">
        <v>4</v>
      </c>
      <c r="BD248">
        <v>60</v>
      </c>
      <c r="BE248">
        <v>4</v>
      </c>
      <c r="BF248">
        <v>77.5</v>
      </c>
      <c r="BG248">
        <v>4</v>
      </c>
      <c r="BH248">
        <v>60</v>
      </c>
      <c r="BI248">
        <v>4</v>
      </c>
      <c r="BJ248">
        <v>77.5</v>
      </c>
      <c r="BL248" s="30">
        <v>2</v>
      </c>
      <c r="BM248" t="s">
        <v>379</v>
      </c>
      <c r="BN248" t="s">
        <v>956</v>
      </c>
      <c r="BP248" s="30">
        <v>64</v>
      </c>
      <c r="BQ248">
        <v>2</v>
      </c>
      <c r="BR248">
        <v>8</v>
      </c>
      <c r="BS248">
        <v>1381</v>
      </c>
      <c r="BT248">
        <v>205</v>
      </c>
      <c r="BV248" s="23" t="s">
        <v>777</v>
      </c>
    </row>
    <row r="249" spans="1:74">
      <c r="A249">
        <v>244</v>
      </c>
      <c r="B249" s="1">
        <v>1</v>
      </c>
      <c r="G249" s="1" t="s">
        <v>160</v>
      </c>
      <c r="H249" s="1" t="s">
        <v>318</v>
      </c>
      <c r="I249">
        <v>43.2</v>
      </c>
      <c r="J249">
        <v>43.2</v>
      </c>
      <c r="K249">
        <v>43.2</v>
      </c>
      <c r="L249">
        <v>3450</v>
      </c>
      <c r="M249">
        <v>2700</v>
      </c>
      <c r="N249">
        <v>0</v>
      </c>
      <c r="O249">
        <f>0.1*42*400*400/1000</f>
        <v>672</v>
      </c>
      <c r="P249">
        <v>350</v>
      </c>
      <c r="Q249">
        <v>400</v>
      </c>
      <c r="R249" t="s">
        <v>57</v>
      </c>
      <c r="S249" s="30" t="s">
        <v>256</v>
      </c>
      <c r="T249">
        <v>19.100000000000001</v>
      </c>
      <c r="U249">
        <v>287</v>
      </c>
      <c r="V249" s="1">
        <v>538</v>
      </c>
      <c r="W249" s="1">
        <v>195</v>
      </c>
      <c r="X249" t="s">
        <v>153</v>
      </c>
      <c r="Y249">
        <v>75</v>
      </c>
      <c r="Z249">
        <v>2</v>
      </c>
      <c r="AA249">
        <v>9.5299999999999994</v>
      </c>
      <c r="AB249">
        <v>71.3</v>
      </c>
      <c r="AC249">
        <v>352</v>
      </c>
      <c r="AD249">
        <v>186</v>
      </c>
      <c r="AE249">
        <v>4</v>
      </c>
      <c r="AF249">
        <v>45</v>
      </c>
      <c r="AG249">
        <v>0</v>
      </c>
      <c r="AH249">
        <v>0</v>
      </c>
      <c r="AI249">
        <v>4</v>
      </c>
      <c r="AJ249">
        <v>45</v>
      </c>
      <c r="AK249">
        <v>0</v>
      </c>
      <c r="AL249">
        <v>0</v>
      </c>
      <c r="AN249">
        <v>400</v>
      </c>
      <c r="AO249">
        <v>400</v>
      </c>
      <c r="AP249" t="s">
        <v>57</v>
      </c>
      <c r="AQ249" s="30" t="s">
        <v>256</v>
      </c>
      <c r="AR249">
        <v>19.100000000000001</v>
      </c>
      <c r="AS249">
        <v>287</v>
      </c>
      <c r="AT249">
        <v>538</v>
      </c>
      <c r="AU249">
        <v>195</v>
      </c>
      <c r="AV249" t="s">
        <v>153</v>
      </c>
      <c r="AW249">
        <v>100</v>
      </c>
      <c r="AX249">
        <v>4</v>
      </c>
      <c r="AY249">
        <v>9.5299999999999994</v>
      </c>
      <c r="AZ249">
        <v>71.3</v>
      </c>
      <c r="BA249">
        <v>352</v>
      </c>
      <c r="BB249">
        <v>186</v>
      </c>
      <c r="BC249">
        <v>4</v>
      </c>
      <c r="BD249">
        <v>60</v>
      </c>
      <c r="BE249">
        <v>4</v>
      </c>
      <c r="BF249">
        <v>77.5</v>
      </c>
      <c r="BG249">
        <v>4</v>
      </c>
      <c r="BH249">
        <v>60</v>
      </c>
      <c r="BI249">
        <v>4</v>
      </c>
      <c r="BJ249">
        <v>77.5</v>
      </c>
      <c r="BL249" s="30">
        <v>2</v>
      </c>
      <c r="BM249" t="s">
        <v>379</v>
      </c>
      <c r="BN249" t="s">
        <v>153</v>
      </c>
      <c r="BP249" s="30">
        <v>71.3</v>
      </c>
      <c r="BQ249">
        <v>2</v>
      </c>
      <c r="BR249">
        <v>8</v>
      </c>
      <c r="BS249">
        <v>352</v>
      </c>
      <c r="BT249">
        <v>186</v>
      </c>
      <c r="BV249" s="23" t="s">
        <v>777</v>
      </c>
    </row>
    <row r="250" spans="1:74">
      <c r="A250">
        <v>245</v>
      </c>
      <c r="B250" s="1">
        <v>1</v>
      </c>
      <c r="C250">
        <v>82</v>
      </c>
      <c r="D250" t="s">
        <v>102</v>
      </c>
      <c r="E250">
        <v>2004</v>
      </c>
      <c r="F250" t="s">
        <v>33</v>
      </c>
      <c r="G250" s="1" t="s">
        <v>160</v>
      </c>
      <c r="H250" s="1" t="s">
        <v>319</v>
      </c>
      <c r="I250">
        <v>190.5</v>
      </c>
      <c r="J250">
        <v>181.7</v>
      </c>
      <c r="K250">
        <v>181.7</v>
      </c>
      <c r="L250">
        <v>3024</v>
      </c>
      <c r="M250">
        <v>1600</v>
      </c>
      <c r="N250">
        <v>0</v>
      </c>
      <c r="O250">
        <v>50</v>
      </c>
      <c r="P250">
        <v>340</v>
      </c>
      <c r="Q250">
        <v>500</v>
      </c>
      <c r="R250" t="s">
        <v>213</v>
      </c>
      <c r="S250" s="30" t="s">
        <v>251</v>
      </c>
      <c r="T250">
        <v>25.4</v>
      </c>
      <c r="U250">
        <v>507</v>
      </c>
      <c r="V250" s="1">
        <v>707</v>
      </c>
      <c r="W250" s="1">
        <v>178.6</v>
      </c>
      <c r="X250" t="s">
        <v>40</v>
      </c>
      <c r="Y250">
        <v>80</v>
      </c>
      <c r="Z250">
        <v>4</v>
      </c>
      <c r="AA250">
        <v>6.35</v>
      </c>
      <c r="AB250">
        <v>31.7</v>
      </c>
      <c r="AC250">
        <v>674</v>
      </c>
      <c r="AD250">
        <v>183</v>
      </c>
      <c r="AE250">
        <v>4</v>
      </c>
      <c r="AF250">
        <v>26</v>
      </c>
      <c r="AG250">
        <v>4</v>
      </c>
      <c r="AH250">
        <v>100</v>
      </c>
      <c r="AI250">
        <v>4</v>
      </c>
      <c r="AJ250">
        <v>26</v>
      </c>
      <c r="AK250">
        <v>4</v>
      </c>
      <c r="AL250">
        <v>100</v>
      </c>
      <c r="AN250">
        <v>420</v>
      </c>
      <c r="AO250">
        <v>420</v>
      </c>
      <c r="AP250" t="s">
        <v>214</v>
      </c>
      <c r="AQ250" s="30" t="s">
        <v>320</v>
      </c>
      <c r="AR250">
        <v>28.7</v>
      </c>
      <c r="AS250">
        <v>642</v>
      </c>
      <c r="AT250">
        <v>1049</v>
      </c>
      <c r="AU250">
        <v>205</v>
      </c>
      <c r="AV250" t="s">
        <v>197</v>
      </c>
      <c r="AW250">
        <v>80</v>
      </c>
      <c r="AX250">
        <v>4</v>
      </c>
      <c r="AY250">
        <v>7.94</v>
      </c>
      <c r="AZ250">
        <v>50</v>
      </c>
      <c r="BA250">
        <v>1056.5999999999999</v>
      </c>
      <c r="BB250">
        <v>182.4</v>
      </c>
      <c r="BC250">
        <v>5</v>
      </c>
      <c r="BD250">
        <v>21</v>
      </c>
      <c r="BE250">
        <v>2</v>
      </c>
      <c r="BF250">
        <v>82</v>
      </c>
      <c r="BG250">
        <v>5</v>
      </c>
      <c r="BH250">
        <v>21</v>
      </c>
      <c r="BI250">
        <v>2</v>
      </c>
      <c r="BJ250">
        <v>82</v>
      </c>
      <c r="BL250" s="30">
        <v>2</v>
      </c>
      <c r="BM250" t="s">
        <v>379</v>
      </c>
      <c r="BN250" t="s">
        <v>197</v>
      </c>
      <c r="BP250" s="30">
        <v>50</v>
      </c>
      <c r="BQ250">
        <v>4</v>
      </c>
      <c r="BR250">
        <v>16</v>
      </c>
      <c r="BS250">
        <v>1056.5999999999999</v>
      </c>
      <c r="BT250">
        <v>182.4</v>
      </c>
      <c r="BV250" s="23" t="s">
        <v>777</v>
      </c>
    </row>
    <row r="251" spans="1:74">
      <c r="A251">
        <v>246</v>
      </c>
      <c r="B251" s="1">
        <v>1</v>
      </c>
      <c r="G251" s="1" t="s">
        <v>160</v>
      </c>
      <c r="H251" s="1" t="s">
        <v>321</v>
      </c>
      <c r="I251">
        <v>190.5</v>
      </c>
      <c r="J251">
        <v>181.7</v>
      </c>
      <c r="K251">
        <v>181.7</v>
      </c>
      <c r="L251">
        <v>3024</v>
      </c>
      <c r="M251">
        <v>1600</v>
      </c>
      <c r="N251">
        <v>0</v>
      </c>
      <c r="O251">
        <v>50</v>
      </c>
      <c r="P251">
        <v>280</v>
      </c>
      <c r="Q251">
        <v>330</v>
      </c>
      <c r="R251" t="s">
        <v>213</v>
      </c>
      <c r="S251" s="30" t="s">
        <v>251</v>
      </c>
      <c r="T251">
        <v>25.4</v>
      </c>
      <c r="U251">
        <v>507</v>
      </c>
      <c r="V251" s="1">
        <v>707</v>
      </c>
      <c r="W251" s="1">
        <v>178.6</v>
      </c>
      <c r="X251" t="s">
        <v>40</v>
      </c>
      <c r="Y251">
        <v>80</v>
      </c>
      <c r="Z251">
        <v>4</v>
      </c>
      <c r="AA251">
        <v>6.35</v>
      </c>
      <c r="AB251">
        <v>31.7</v>
      </c>
      <c r="AC251">
        <v>674</v>
      </c>
      <c r="AD251">
        <v>183</v>
      </c>
      <c r="AE251">
        <v>3</v>
      </c>
      <c r="AF251">
        <v>20</v>
      </c>
      <c r="AG251">
        <v>2</v>
      </c>
      <c r="AH251">
        <v>45</v>
      </c>
      <c r="AI251">
        <v>3</v>
      </c>
      <c r="AJ251">
        <v>20</v>
      </c>
      <c r="AK251">
        <v>2</v>
      </c>
      <c r="AL251">
        <v>45</v>
      </c>
      <c r="AN251">
        <v>350</v>
      </c>
      <c r="AO251">
        <v>350</v>
      </c>
      <c r="AP251" t="s">
        <v>214</v>
      </c>
      <c r="AQ251" s="30" t="s">
        <v>320</v>
      </c>
      <c r="AR251">
        <v>28.7</v>
      </c>
      <c r="AS251">
        <v>642</v>
      </c>
      <c r="AT251">
        <v>1049</v>
      </c>
      <c r="AU251">
        <v>205</v>
      </c>
      <c r="AV251" t="s">
        <v>197</v>
      </c>
      <c r="AW251">
        <v>80</v>
      </c>
      <c r="AX251">
        <v>4</v>
      </c>
      <c r="AY251">
        <v>7.94</v>
      </c>
      <c r="AZ251">
        <v>50</v>
      </c>
      <c r="BA251">
        <v>1056.5999999999999</v>
      </c>
      <c r="BB251">
        <v>182.4</v>
      </c>
      <c r="BC251">
        <v>4</v>
      </c>
      <c r="BD251">
        <v>20</v>
      </c>
      <c r="BE251">
        <v>2</v>
      </c>
      <c r="BF251">
        <v>82</v>
      </c>
      <c r="BG251">
        <v>4</v>
      </c>
      <c r="BH251">
        <v>20</v>
      </c>
      <c r="BI251">
        <v>2</v>
      </c>
      <c r="BJ251">
        <v>82</v>
      </c>
      <c r="BL251" s="30">
        <v>0</v>
      </c>
      <c r="BM251" t="s">
        <v>379</v>
      </c>
      <c r="BN251" t="s">
        <v>197</v>
      </c>
      <c r="BP251" s="30">
        <v>50</v>
      </c>
      <c r="BQ251">
        <v>4</v>
      </c>
      <c r="BR251">
        <v>16</v>
      </c>
      <c r="BS251">
        <v>1056.5999999999999</v>
      </c>
      <c r="BT251">
        <v>182.4</v>
      </c>
      <c r="BV251" s="23" t="s">
        <v>777</v>
      </c>
    </row>
    <row r="252" spans="1:74">
      <c r="A252">
        <v>247</v>
      </c>
      <c r="B252" s="1">
        <v>2</v>
      </c>
      <c r="C252">
        <v>83</v>
      </c>
      <c r="D252" t="s">
        <v>103</v>
      </c>
      <c r="E252">
        <v>2005</v>
      </c>
      <c r="F252" t="s">
        <v>27</v>
      </c>
      <c r="G252" t="s">
        <v>160</v>
      </c>
      <c r="H252" s="52" t="s">
        <v>201</v>
      </c>
      <c r="I252">
        <v>66.5</v>
      </c>
      <c r="J252">
        <v>66.5</v>
      </c>
      <c r="K252">
        <f t="shared" ref="K252:K263" si="123">J252</f>
        <v>66.5</v>
      </c>
      <c r="L252">
        <v>2600</v>
      </c>
      <c r="M252">
        <v>2400</v>
      </c>
      <c r="N252">
        <v>0</v>
      </c>
      <c r="O252">
        <f t="shared" ref="O252:O257" si="124">0.15*AN252*AO252*J252/1000</f>
        <v>1596</v>
      </c>
      <c r="P252">
        <v>275</v>
      </c>
      <c r="Q252">
        <v>400</v>
      </c>
      <c r="R252" t="s">
        <v>57</v>
      </c>
      <c r="S252" s="30" t="s">
        <v>251</v>
      </c>
      <c r="T252">
        <v>19.100000000000001</v>
      </c>
      <c r="U252">
        <v>287</v>
      </c>
      <c r="V252" s="1">
        <v>724</v>
      </c>
      <c r="W252" s="1">
        <v>198</v>
      </c>
      <c r="X252" t="s">
        <v>181</v>
      </c>
      <c r="Y252">
        <v>100</v>
      </c>
      <c r="Z252">
        <v>4</v>
      </c>
      <c r="AA252">
        <v>6.4</v>
      </c>
      <c r="AB252">
        <v>30</v>
      </c>
      <c r="AC252">
        <v>1431</v>
      </c>
      <c r="AD252">
        <v>207</v>
      </c>
      <c r="AE252">
        <v>4</v>
      </c>
      <c r="AF252">
        <v>40</v>
      </c>
      <c r="AG252">
        <v>2</v>
      </c>
      <c r="AH252">
        <v>55</v>
      </c>
      <c r="AI252">
        <v>4</v>
      </c>
      <c r="AJ252">
        <v>40</v>
      </c>
      <c r="AK252">
        <v>2</v>
      </c>
      <c r="AL252">
        <v>55</v>
      </c>
      <c r="AM252" s="30">
        <v>40</v>
      </c>
      <c r="AN252">
        <v>400</v>
      </c>
      <c r="AO252">
        <v>400</v>
      </c>
      <c r="AP252" t="s">
        <v>57</v>
      </c>
      <c r="AQ252" s="30" t="s">
        <v>251</v>
      </c>
      <c r="AR252">
        <v>19.100000000000001</v>
      </c>
      <c r="AS252">
        <v>287</v>
      </c>
      <c r="AT252">
        <v>724</v>
      </c>
      <c r="AU252">
        <v>198</v>
      </c>
      <c r="AV252" t="s">
        <v>181</v>
      </c>
      <c r="AW252">
        <v>45</v>
      </c>
      <c r="AX252">
        <v>4</v>
      </c>
      <c r="AY252">
        <v>6.4</v>
      </c>
      <c r="AZ252">
        <v>30</v>
      </c>
      <c r="BA252">
        <v>1423</v>
      </c>
      <c r="BB252">
        <v>208</v>
      </c>
      <c r="BC252">
        <v>4</v>
      </c>
      <c r="BD252">
        <v>40</v>
      </c>
      <c r="BE252">
        <v>2</v>
      </c>
      <c r="BF252">
        <v>95</v>
      </c>
      <c r="BG252">
        <v>4</v>
      </c>
      <c r="BH252">
        <v>40</v>
      </c>
      <c r="BI252">
        <v>2</v>
      </c>
      <c r="BJ252">
        <v>95</v>
      </c>
      <c r="BK252" s="30">
        <v>40</v>
      </c>
      <c r="BL252" s="30">
        <v>0</v>
      </c>
      <c r="BM252" t="s">
        <v>379</v>
      </c>
      <c r="BN252" t="s">
        <v>795</v>
      </c>
      <c r="BQ252">
        <v>4</v>
      </c>
      <c r="BR252">
        <v>16</v>
      </c>
      <c r="BS252">
        <v>1423</v>
      </c>
      <c r="BT252">
        <v>208</v>
      </c>
      <c r="BU252" s="23">
        <v>0.3</v>
      </c>
    </row>
    <row r="253" spans="1:74">
      <c r="A253">
        <v>248</v>
      </c>
      <c r="B253" s="1">
        <v>1</v>
      </c>
      <c r="G253" t="s">
        <v>158</v>
      </c>
      <c r="H253" s="1" t="s">
        <v>104</v>
      </c>
      <c r="I253">
        <v>107</v>
      </c>
      <c r="J253">
        <v>107</v>
      </c>
      <c r="K253">
        <f t="shared" si="123"/>
        <v>107</v>
      </c>
      <c r="L253">
        <v>2600</v>
      </c>
      <c r="M253">
        <v>2400</v>
      </c>
      <c r="N253">
        <v>0</v>
      </c>
      <c r="O253">
        <f t="shared" si="124"/>
        <v>2568</v>
      </c>
      <c r="P253">
        <v>275</v>
      </c>
      <c r="Q253">
        <v>400</v>
      </c>
      <c r="R253" t="s">
        <v>57</v>
      </c>
      <c r="S253" s="30" t="s">
        <v>251</v>
      </c>
      <c r="T253">
        <v>19.100000000000001</v>
      </c>
      <c r="U253">
        <v>287</v>
      </c>
      <c r="V253" s="1">
        <v>724</v>
      </c>
      <c r="W253" s="1">
        <v>198</v>
      </c>
      <c r="X253" t="s">
        <v>181</v>
      </c>
      <c r="Y253">
        <v>100</v>
      </c>
      <c r="Z253">
        <v>4</v>
      </c>
      <c r="AA253">
        <v>6.4</v>
      </c>
      <c r="AB253">
        <v>30</v>
      </c>
      <c r="AC253">
        <v>1431</v>
      </c>
      <c r="AD253">
        <v>207</v>
      </c>
      <c r="AE253">
        <v>4</v>
      </c>
      <c r="AF253">
        <v>40</v>
      </c>
      <c r="AG253">
        <v>2</v>
      </c>
      <c r="AH253">
        <v>55</v>
      </c>
      <c r="AI253">
        <v>4</v>
      </c>
      <c r="AJ253">
        <v>40</v>
      </c>
      <c r="AK253">
        <v>2</v>
      </c>
      <c r="AL253">
        <v>55</v>
      </c>
      <c r="AM253" s="30">
        <v>40</v>
      </c>
      <c r="AN253">
        <v>400</v>
      </c>
      <c r="AO253">
        <v>400</v>
      </c>
      <c r="AP253" t="s">
        <v>57</v>
      </c>
      <c r="AQ253" s="30" t="s">
        <v>251</v>
      </c>
      <c r="AR253">
        <v>19.100000000000001</v>
      </c>
      <c r="AS253">
        <v>287</v>
      </c>
      <c r="AT253">
        <v>724</v>
      </c>
      <c r="AU253">
        <v>198</v>
      </c>
      <c r="AV253" t="s">
        <v>181</v>
      </c>
      <c r="AW253">
        <v>45</v>
      </c>
      <c r="AX253">
        <v>4</v>
      </c>
      <c r="AY253">
        <v>6.4</v>
      </c>
      <c r="AZ253">
        <v>30</v>
      </c>
      <c r="BA253">
        <v>1423</v>
      </c>
      <c r="BB253">
        <v>208</v>
      </c>
      <c r="BC253">
        <v>4</v>
      </c>
      <c r="BD253">
        <v>40</v>
      </c>
      <c r="BE253">
        <v>2</v>
      </c>
      <c r="BF253">
        <v>95</v>
      </c>
      <c r="BG253">
        <v>4</v>
      </c>
      <c r="BH253">
        <v>40</v>
      </c>
      <c r="BI253">
        <v>2</v>
      </c>
      <c r="BJ253">
        <v>95</v>
      </c>
      <c r="BK253" s="30">
        <v>40</v>
      </c>
      <c r="BL253" s="30">
        <v>0</v>
      </c>
      <c r="BM253" t="s">
        <v>379</v>
      </c>
      <c r="BN253" t="s">
        <v>795</v>
      </c>
      <c r="BP253" s="30">
        <v>30</v>
      </c>
      <c r="BQ253">
        <v>4</v>
      </c>
      <c r="BR253">
        <v>16</v>
      </c>
      <c r="BS253">
        <v>1423</v>
      </c>
      <c r="BT253">
        <v>208</v>
      </c>
      <c r="BU253" s="23">
        <v>0.3</v>
      </c>
    </row>
    <row r="254" spans="1:74">
      <c r="A254">
        <v>249</v>
      </c>
      <c r="B254" s="1">
        <v>1</v>
      </c>
      <c r="G254" t="s">
        <v>160</v>
      </c>
      <c r="H254" s="1" t="s">
        <v>105</v>
      </c>
      <c r="I254">
        <v>107</v>
      </c>
      <c r="J254">
        <v>107</v>
      </c>
      <c r="K254">
        <f t="shared" si="123"/>
        <v>107</v>
      </c>
      <c r="L254">
        <v>2600</v>
      </c>
      <c r="M254">
        <v>2400</v>
      </c>
      <c r="N254">
        <v>0</v>
      </c>
      <c r="O254">
        <f t="shared" si="124"/>
        <v>2568</v>
      </c>
      <c r="P254">
        <v>275</v>
      </c>
      <c r="Q254">
        <v>400</v>
      </c>
      <c r="R254" t="s">
        <v>57</v>
      </c>
      <c r="S254" s="30" t="s">
        <v>251</v>
      </c>
      <c r="T254">
        <v>19.100000000000001</v>
      </c>
      <c r="U254">
        <v>287</v>
      </c>
      <c r="V254" s="1">
        <v>724</v>
      </c>
      <c r="W254" s="1">
        <v>198</v>
      </c>
      <c r="X254" t="s">
        <v>181</v>
      </c>
      <c r="Y254">
        <v>75</v>
      </c>
      <c r="Z254">
        <v>4</v>
      </c>
      <c r="AA254">
        <v>6.4</v>
      </c>
      <c r="AB254">
        <v>30</v>
      </c>
      <c r="AC254">
        <v>1431</v>
      </c>
      <c r="AD254">
        <v>207</v>
      </c>
      <c r="AE254">
        <v>4</v>
      </c>
      <c r="AF254">
        <v>40</v>
      </c>
      <c r="AG254">
        <v>4</v>
      </c>
      <c r="AH254">
        <v>55</v>
      </c>
      <c r="AI254">
        <v>4</v>
      </c>
      <c r="AJ254">
        <v>40</v>
      </c>
      <c r="AK254">
        <v>4</v>
      </c>
      <c r="AL254">
        <v>55</v>
      </c>
      <c r="AM254" s="30">
        <v>40</v>
      </c>
      <c r="AN254">
        <v>400</v>
      </c>
      <c r="AO254">
        <v>400</v>
      </c>
      <c r="AP254" t="s">
        <v>57</v>
      </c>
      <c r="AQ254" s="30" t="s">
        <v>251</v>
      </c>
      <c r="AR254">
        <v>19.100000000000001</v>
      </c>
      <c r="AS254">
        <v>287</v>
      </c>
      <c r="AT254">
        <v>724</v>
      </c>
      <c r="AU254">
        <v>198</v>
      </c>
      <c r="AV254" t="s">
        <v>181</v>
      </c>
      <c r="AW254">
        <v>45</v>
      </c>
      <c r="AX254">
        <v>4</v>
      </c>
      <c r="AY254">
        <v>6.4</v>
      </c>
      <c r="AZ254">
        <v>30</v>
      </c>
      <c r="BA254">
        <v>1423</v>
      </c>
      <c r="BB254">
        <v>208</v>
      </c>
      <c r="BC254">
        <v>4</v>
      </c>
      <c r="BD254">
        <v>40</v>
      </c>
      <c r="BE254">
        <v>2</v>
      </c>
      <c r="BF254">
        <v>95</v>
      </c>
      <c r="BG254">
        <v>4</v>
      </c>
      <c r="BH254">
        <v>40</v>
      </c>
      <c r="BI254">
        <v>2</v>
      </c>
      <c r="BJ254">
        <v>95</v>
      </c>
      <c r="BK254" s="30">
        <v>40</v>
      </c>
      <c r="BL254" s="30">
        <v>0</v>
      </c>
      <c r="BM254" t="s">
        <v>379</v>
      </c>
      <c r="BN254" t="s">
        <v>181</v>
      </c>
      <c r="BP254" s="30">
        <v>30</v>
      </c>
      <c r="BQ254">
        <v>4</v>
      </c>
      <c r="BR254">
        <v>16</v>
      </c>
      <c r="BS254">
        <v>1423</v>
      </c>
      <c r="BT254">
        <v>208</v>
      </c>
      <c r="BU254" s="23">
        <v>0.3</v>
      </c>
    </row>
    <row r="255" spans="1:74">
      <c r="A255">
        <v>250</v>
      </c>
      <c r="B255" s="1">
        <v>1</v>
      </c>
      <c r="G255" t="s">
        <v>160</v>
      </c>
      <c r="H255" s="1" t="s">
        <v>106</v>
      </c>
      <c r="I255">
        <v>157</v>
      </c>
      <c r="J255">
        <v>157</v>
      </c>
      <c r="K255">
        <f t="shared" si="123"/>
        <v>157</v>
      </c>
      <c r="L255">
        <v>2600</v>
      </c>
      <c r="M255">
        <v>2400</v>
      </c>
      <c r="N255">
        <v>0</v>
      </c>
      <c r="O255">
        <f t="shared" si="124"/>
        <v>3768</v>
      </c>
      <c r="P255">
        <v>275</v>
      </c>
      <c r="Q255">
        <v>400</v>
      </c>
      <c r="R255" t="s">
        <v>57</v>
      </c>
      <c r="S255" s="30" t="s">
        <v>251</v>
      </c>
      <c r="T255">
        <v>19.100000000000001</v>
      </c>
      <c r="U255">
        <v>287</v>
      </c>
      <c r="V255" s="1">
        <v>724</v>
      </c>
      <c r="W255" s="1">
        <v>198</v>
      </c>
      <c r="X255" t="s">
        <v>181</v>
      </c>
      <c r="Y255">
        <v>75</v>
      </c>
      <c r="Z255">
        <v>4</v>
      </c>
      <c r="AA255">
        <v>6.4</v>
      </c>
      <c r="AB255">
        <v>30</v>
      </c>
      <c r="AC255">
        <v>1431</v>
      </c>
      <c r="AD255">
        <v>207</v>
      </c>
      <c r="AE255">
        <v>4</v>
      </c>
      <c r="AF255">
        <v>40</v>
      </c>
      <c r="AG255">
        <v>4</v>
      </c>
      <c r="AH255">
        <v>55</v>
      </c>
      <c r="AI255">
        <v>4</v>
      </c>
      <c r="AJ255">
        <v>40</v>
      </c>
      <c r="AK255">
        <v>4</v>
      </c>
      <c r="AL255">
        <v>55</v>
      </c>
      <c r="AM255" s="30">
        <v>40</v>
      </c>
      <c r="AN255">
        <v>400</v>
      </c>
      <c r="AO255">
        <v>400</v>
      </c>
      <c r="AP255" t="s">
        <v>57</v>
      </c>
      <c r="AQ255" s="30" t="s">
        <v>251</v>
      </c>
      <c r="AR255">
        <v>19.100000000000001</v>
      </c>
      <c r="AS255">
        <v>287</v>
      </c>
      <c r="AT255">
        <v>724</v>
      </c>
      <c r="AU255">
        <v>198</v>
      </c>
      <c r="AV255" t="s">
        <v>181</v>
      </c>
      <c r="AW255">
        <v>45</v>
      </c>
      <c r="AX255">
        <v>4</v>
      </c>
      <c r="AY255">
        <v>6.4</v>
      </c>
      <c r="AZ255">
        <v>30</v>
      </c>
      <c r="BA255">
        <v>1423</v>
      </c>
      <c r="BB255">
        <v>208</v>
      </c>
      <c r="BC255">
        <v>4</v>
      </c>
      <c r="BD255">
        <v>40</v>
      </c>
      <c r="BE255">
        <v>2</v>
      </c>
      <c r="BF255">
        <v>95</v>
      </c>
      <c r="BG255">
        <v>4</v>
      </c>
      <c r="BH255">
        <v>40</v>
      </c>
      <c r="BI255">
        <v>2</v>
      </c>
      <c r="BJ255">
        <v>95</v>
      </c>
      <c r="BK255" s="30">
        <v>40</v>
      </c>
      <c r="BL255" s="30">
        <v>0</v>
      </c>
      <c r="BM255" t="s">
        <v>379</v>
      </c>
      <c r="BN255" t="s">
        <v>181</v>
      </c>
      <c r="BP255" s="30">
        <v>30</v>
      </c>
      <c r="BQ255">
        <v>8</v>
      </c>
      <c r="BR255">
        <v>16</v>
      </c>
      <c r="BS255">
        <v>1423</v>
      </c>
      <c r="BT255">
        <v>208</v>
      </c>
      <c r="BU255" s="23">
        <v>0.3</v>
      </c>
    </row>
    <row r="256" spans="1:74">
      <c r="A256">
        <v>251</v>
      </c>
      <c r="B256" s="1">
        <v>1</v>
      </c>
      <c r="G256" t="s">
        <v>158</v>
      </c>
      <c r="H256" s="1" t="s">
        <v>107</v>
      </c>
      <c r="I256">
        <v>107</v>
      </c>
      <c r="J256">
        <v>107</v>
      </c>
      <c r="K256">
        <f t="shared" si="123"/>
        <v>107</v>
      </c>
      <c r="L256">
        <v>2600</v>
      </c>
      <c r="M256">
        <v>2400</v>
      </c>
      <c r="N256">
        <v>0</v>
      </c>
      <c r="O256">
        <f t="shared" si="124"/>
        <v>2568</v>
      </c>
      <c r="P256">
        <v>275</v>
      </c>
      <c r="Q256">
        <v>400</v>
      </c>
      <c r="R256" t="s">
        <v>162</v>
      </c>
      <c r="S256" s="30" t="s">
        <v>251</v>
      </c>
      <c r="T256">
        <v>22.2</v>
      </c>
      <c r="U256">
        <v>387</v>
      </c>
      <c r="V256" s="1">
        <v>748</v>
      </c>
      <c r="W256" s="1">
        <v>202</v>
      </c>
      <c r="X256" t="s">
        <v>181</v>
      </c>
      <c r="Y256">
        <v>65</v>
      </c>
      <c r="Z256">
        <v>4</v>
      </c>
      <c r="AA256">
        <v>6.4</v>
      </c>
      <c r="AB256">
        <v>30</v>
      </c>
      <c r="AC256">
        <v>1431</v>
      </c>
      <c r="AD256">
        <v>207</v>
      </c>
      <c r="AE256">
        <v>4</v>
      </c>
      <c r="AF256">
        <v>40</v>
      </c>
      <c r="AG256">
        <v>0</v>
      </c>
      <c r="AH256">
        <v>0</v>
      </c>
      <c r="AI256">
        <v>4</v>
      </c>
      <c r="AJ256">
        <v>40</v>
      </c>
      <c r="AK256">
        <v>0</v>
      </c>
      <c r="AL256">
        <v>0</v>
      </c>
      <c r="AM256" s="30">
        <v>40</v>
      </c>
      <c r="AN256">
        <v>400</v>
      </c>
      <c r="AO256">
        <v>400</v>
      </c>
      <c r="AP256" t="s">
        <v>57</v>
      </c>
      <c r="AQ256" s="30" t="s">
        <v>251</v>
      </c>
      <c r="AR256">
        <v>19.100000000000001</v>
      </c>
      <c r="AS256">
        <v>287</v>
      </c>
      <c r="AT256">
        <v>724</v>
      </c>
      <c r="AU256">
        <v>198</v>
      </c>
      <c r="AV256" t="s">
        <v>181</v>
      </c>
      <c r="AW256">
        <v>45</v>
      </c>
      <c r="AX256">
        <v>4</v>
      </c>
      <c r="AY256">
        <v>6.4</v>
      </c>
      <c r="AZ256">
        <v>30</v>
      </c>
      <c r="BA256">
        <v>1423</v>
      </c>
      <c r="BB256">
        <v>208</v>
      </c>
      <c r="BC256">
        <v>4</v>
      </c>
      <c r="BD256">
        <v>40</v>
      </c>
      <c r="BE256">
        <v>2</v>
      </c>
      <c r="BF256">
        <v>95</v>
      </c>
      <c r="BG256">
        <v>4</v>
      </c>
      <c r="BH256">
        <v>40</v>
      </c>
      <c r="BI256">
        <v>2</v>
      </c>
      <c r="BJ256">
        <v>95</v>
      </c>
      <c r="BK256" s="30">
        <v>40</v>
      </c>
      <c r="BL256" s="30">
        <v>0</v>
      </c>
      <c r="BM256" t="s">
        <v>379</v>
      </c>
      <c r="BN256" t="s">
        <v>181</v>
      </c>
      <c r="BP256" s="30">
        <v>30</v>
      </c>
      <c r="BQ256">
        <v>4</v>
      </c>
      <c r="BR256">
        <v>16</v>
      </c>
      <c r="BS256">
        <v>1423</v>
      </c>
      <c r="BT256">
        <v>208</v>
      </c>
      <c r="BU256" s="23">
        <v>0.3</v>
      </c>
    </row>
    <row r="257" spans="1:74">
      <c r="A257">
        <v>252</v>
      </c>
      <c r="B257" s="1">
        <v>1</v>
      </c>
      <c r="G257" t="s">
        <v>84</v>
      </c>
      <c r="H257" s="1" t="s">
        <v>108</v>
      </c>
      <c r="I257">
        <v>157</v>
      </c>
      <c r="J257">
        <v>157</v>
      </c>
      <c r="K257">
        <f t="shared" si="123"/>
        <v>157</v>
      </c>
      <c r="L257">
        <v>2600</v>
      </c>
      <c r="M257">
        <v>2400</v>
      </c>
      <c r="N257">
        <v>0</v>
      </c>
      <c r="O257">
        <f t="shared" si="124"/>
        <v>3768</v>
      </c>
      <c r="P257">
        <v>275</v>
      </c>
      <c r="Q257">
        <v>400</v>
      </c>
      <c r="R257" t="s">
        <v>162</v>
      </c>
      <c r="S257" s="30" t="s">
        <v>251</v>
      </c>
      <c r="T257">
        <v>22.2</v>
      </c>
      <c r="U257">
        <v>387</v>
      </c>
      <c r="V257" s="1">
        <v>748</v>
      </c>
      <c r="W257" s="1">
        <v>202</v>
      </c>
      <c r="X257" t="s">
        <v>181</v>
      </c>
      <c r="Y257">
        <v>65</v>
      </c>
      <c r="Z257">
        <v>4</v>
      </c>
      <c r="AA257">
        <v>6.4</v>
      </c>
      <c r="AB257">
        <v>30</v>
      </c>
      <c r="AC257">
        <v>1431</v>
      </c>
      <c r="AD257">
        <v>207</v>
      </c>
      <c r="AE257">
        <v>4</v>
      </c>
      <c r="AF257">
        <v>40</v>
      </c>
      <c r="AG257">
        <v>4</v>
      </c>
      <c r="AH257">
        <v>55</v>
      </c>
      <c r="AI257">
        <v>4</v>
      </c>
      <c r="AJ257">
        <v>40</v>
      </c>
      <c r="AK257">
        <v>4</v>
      </c>
      <c r="AL257">
        <v>55</v>
      </c>
      <c r="AM257" s="30">
        <v>40</v>
      </c>
      <c r="AN257">
        <v>400</v>
      </c>
      <c r="AO257">
        <v>400</v>
      </c>
      <c r="AP257" t="s">
        <v>57</v>
      </c>
      <c r="AQ257" s="30" t="s">
        <v>251</v>
      </c>
      <c r="AR257">
        <v>19.100000000000001</v>
      </c>
      <c r="AS257">
        <v>287</v>
      </c>
      <c r="AT257">
        <v>724</v>
      </c>
      <c r="AU257">
        <v>198</v>
      </c>
      <c r="AV257" t="s">
        <v>181</v>
      </c>
      <c r="AW257">
        <v>45</v>
      </c>
      <c r="AX257">
        <v>4</v>
      </c>
      <c r="AY257">
        <v>6.4</v>
      </c>
      <c r="AZ257">
        <v>30</v>
      </c>
      <c r="BA257">
        <v>1423</v>
      </c>
      <c r="BB257">
        <v>208</v>
      </c>
      <c r="BC257">
        <v>4</v>
      </c>
      <c r="BD257">
        <v>40</v>
      </c>
      <c r="BE257">
        <v>2</v>
      </c>
      <c r="BF257">
        <v>95</v>
      </c>
      <c r="BG257">
        <v>4</v>
      </c>
      <c r="BH257">
        <v>40</v>
      </c>
      <c r="BI257">
        <v>2</v>
      </c>
      <c r="BJ257">
        <v>95</v>
      </c>
      <c r="BK257" s="30">
        <v>40</v>
      </c>
      <c r="BL257" s="30">
        <v>0</v>
      </c>
      <c r="BM257" t="s">
        <v>379</v>
      </c>
      <c r="BN257" t="s">
        <v>181</v>
      </c>
      <c r="BP257" s="30">
        <v>30</v>
      </c>
      <c r="BQ257">
        <v>4</v>
      </c>
      <c r="BR257">
        <v>16</v>
      </c>
      <c r="BS257">
        <v>1423</v>
      </c>
      <c r="BT257">
        <v>208</v>
      </c>
      <c r="BU257" s="23">
        <v>0.3</v>
      </c>
    </row>
    <row r="258" spans="1:74">
      <c r="A258">
        <v>253</v>
      </c>
      <c r="B258" s="1">
        <v>1</v>
      </c>
      <c r="C258">
        <v>84</v>
      </c>
      <c r="D258" t="s">
        <v>94</v>
      </c>
      <c r="E258">
        <v>2005</v>
      </c>
      <c r="F258" t="s">
        <v>27</v>
      </c>
      <c r="G258" t="s">
        <v>84</v>
      </c>
      <c r="H258" s="1" t="s">
        <v>322</v>
      </c>
      <c r="I258">
        <v>182</v>
      </c>
      <c r="J258">
        <v>182</v>
      </c>
      <c r="K258">
        <f t="shared" si="123"/>
        <v>182</v>
      </c>
      <c r="L258">
        <v>2560</v>
      </c>
      <c r="M258">
        <v>1600</v>
      </c>
      <c r="N258">
        <v>0</v>
      </c>
      <c r="O258">
        <v>5330</v>
      </c>
      <c r="P258">
        <v>220</v>
      </c>
      <c r="Q258">
        <v>400</v>
      </c>
      <c r="R258" t="s">
        <v>162</v>
      </c>
      <c r="S258" s="30" t="s">
        <v>278</v>
      </c>
      <c r="T258">
        <v>22.2</v>
      </c>
      <c r="U258">
        <v>387</v>
      </c>
      <c r="V258" s="1">
        <v>682</v>
      </c>
      <c r="W258" s="1">
        <v>193</v>
      </c>
      <c r="X258" t="s">
        <v>300</v>
      </c>
      <c r="Y258">
        <v>50</v>
      </c>
      <c r="Z258">
        <v>4</v>
      </c>
      <c r="AA258">
        <v>6.35</v>
      </c>
      <c r="AB258">
        <v>32</v>
      </c>
      <c r="AC258">
        <v>935</v>
      </c>
      <c r="AD258">
        <v>187</v>
      </c>
      <c r="AE258">
        <v>4</v>
      </c>
      <c r="AF258">
        <v>38</v>
      </c>
      <c r="AG258">
        <v>3</v>
      </c>
      <c r="AH258">
        <v>60</v>
      </c>
      <c r="AI258">
        <v>4</v>
      </c>
      <c r="AJ258">
        <v>38</v>
      </c>
      <c r="AK258">
        <v>3</v>
      </c>
      <c r="AL258">
        <v>60</v>
      </c>
      <c r="AM258" s="30">
        <v>37</v>
      </c>
      <c r="AN258">
        <v>300</v>
      </c>
      <c r="AO258">
        <v>380</v>
      </c>
      <c r="AP258" t="s">
        <v>57</v>
      </c>
      <c r="AQ258" s="30" t="s">
        <v>278</v>
      </c>
      <c r="AR258">
        <v>19.100000000000001</v>
      </c>
      <c r="AS258">
        <v>287</v>
      </c>
      <c r="AT258">
        <v>690</v>
      </c>
      <c r="AU258">
        <v>190</v>
      </c>
      <c r="AV258" t="s">
        <v>300</v>
      </c>
      <c r="AW258">
        <v>50</v>
      </c>
      <c r="AX258">
        <v>4</v>
      </c>
      <c r="AY258">
        <v>6.35</v>
      </c>
      <c r="AZ258">
        <v>32</v>
      </c>
      <c r="BA258">
        <v>935</v>
      </c>
      <c r="BB258">
        <v>187</v>
      </c>
      <c r="BC258">
        <v>4</v>
      </c>
      <c r="BD258">
        <v>37</v>
      </c>
      <c r="BE258">
        <v>2</v>
      </c>
      <c r="BF258">
        <v>95</v>
      </c>
      <c r="BG258">
        <v>4</v>
      </c>
      <c r="BH258">
        <v>37</v>
      </c>
      <c r="BI258">
        <v>2</v>
      </c>
      <c r="BJ258">
        <v>95</v>
      </c>
      <c r="BK258" s="30">
        <v>37</v>
      </c>
      <c r="BL258" s="30">
        <v>0</v>
      </c>
      <c r="BM258" t="s">
        <v>166</v>
      </c>
      <c r="BN258" t="s">
        <v>796</v>
      </c>
      <c r="BP258" s="30">
        <v>32</v>
      </c>
      <c r="BQ258">
        <v>3</v>
      </c>
      <c r="BR258">
        <v>6</v>
      </c>
      <c r="BS258">
        <v>935</v>
      </c>
      <c r="BT258">
        <v>187</v>
      </c>
      <c r="BU258" s="23">
        <v>0.23</v>
      </c>
    </row>
    <row r="259" spans="1:74">
      <c r="A259">
        <v>254</v>
      </c>
      <c r="B259" s="1">
        <v>1</v>
      </c>
      <c r="C259">
        <v>85</v>
      </c>
      <c r="D259" t="s">
        <v>109</v>
      </c>
      <c r="E259">
        <v>2005</v>
      </c>
      <c r="F259" t="s">
        <v>27</v>
      </c>
      <c r="G259" t="s">
        <v>158</v>
      </c>
      <c r="H259" s="1" t="s">
        <v>323</v>
      </c>
      <c r="I259">
        <f t="shared" ref="I259:J261" si="125">30.1*0.98</f>
        <v>29.498000000000001</v>
      </c>
      <c r="J259">
        <f t="shared" si="125"/>
        <v>29.498000000000001</v>
      </c>
      <c r="K259">
        <f t="shared" si="123"/>
        <v>29.498000000000001</v>
      </c>
      <c r="L259">
        <v>2000</v>
      </c>
      <c r="M259">
        <v>1400</v>
      </c>
      <c r="N259">
        <v>0</v>
      </c>
      <c r="O259">
        <v>294</v>
      </c>
      <c r="P259">
        <v>180</v>
      </c>
      <c r="Q259">
        <v>250</v>
      </c>
      <c r="R259" t="s">
        <v>39</v>
      </c>
      <c r="S259" s="30" t="s">
        <v>268</v>
      </c>
      <c r="T259">
        <v>15.9</v>
      </c>
      <c r="U259">
        <v>199</v>
      </c>
      <c r="V259" s="1">
        <f>360.4*0.98</f>
        <v>353.19199999999995</v>
      </c>
      <c r="W259" s="1">
        <f>192*0.98</f>
        <v>188.16</v>
      </c>
      <c r="X259" t="s">
        <v>40</v>
      </c>
      <c r="Y259">
        <v>80</v>
      </c>
      <c r="Z259">
        <v>2</v>
      </c>
      <c r="AA259">
        <v>6.35</v>
      </c>
      <c r="AB259">
        <v>31.7</v>
      </c>
      <c r="AC259">
        <f>328.1*0.98</f>
        <v>321.53800000000001</v>
      </c>
      <c r="AD259">
        <f>162*0.98</f>
        <v>158.76</v>
      </c>
      <c r="AE259">
        <v>2</v>
      </c>
      <c r="AF259">
        <v>40</v>
      </c>
      <c r="AG259">
        <v>0</v>
      </c>
      <c r="AH259">
        <v>0</v>
      </c>
      <c r="AI259">
        <v>2</v>
      </c>
      <c r="AJ259">
        <v>40</v>
      </c>
      <c r="AK259">
        <v>0</v>
      </c>
      <c r="AL259">
        <v>0</v>
      </c>
      <c r="AM259" s="30">
        <v>40</v>
      </c>
      <c r="AN259">
        <v>250</v>
      </c>
      <c r="AO259">
        <v>250</v>
      </c>
      <c r="AP259" t="s">
        <v>39</v>
      </c>
      <c r="AQ259" s="30" t="s">
        <v>76</v>
      </c>
      <c r="AR259">
        <v>15.9</v>
      </c>
      <c r="AS259">
        <v>199</v>
      </c>
      <c r="AT259">
        <f>393.3*0.98</f>
        <v>385.43400000000003</v>
      </c>
      <c r="AU259">
        <f>188*0.98</f>
        <v>184.24</v>
      </c>
      <c r="AV259" t="s">
        <v>40</v>
      </c>
      <c r="AW259">
        <v>50</v>
      </c>
      <c r="AX259">
        <v>2</v>
      </c>
      <c r="AY259">
        <v>6.35</v>
      </c>
      <c r="AZ259">
        <v>31.7</v>
      </c>
      <c r="BA259">
        <f>328.1*0.98</f>
        <v>321.53800000000001</v>
      </c>
      <c r="BB259">
        <f>162*0.98</f>
        <v>158.76</v>
      </c>
      <c r="BC259">
        <v>4</v>
      </c>
      <c r="BD259">
        <v>40</v>
      </c>
      <c r="BE259">
        <v>2</v>
      </c>
      <c r="BF259">
        <v>55</v>
      </c>
      <c r="BG259">
        <v>4</v>
      </c>
      <c r="BH259">
        <v>40</v>
      </c>
      <c r="BI259">
        <v>2</v>
      </c>
      <c r="BJ259">
        <v>55</v>
      </c>
      <c r="BK259" s="30">
        <v>40</v>
      </c>
      <c r="BL259" s="30">
        <v>0</v>
      </c>
      <c r="BM259" t="s">
        <v>166</v>
      </c>
      <c r="BN259" t="s">
        <v>797</v>
      </c>
      <c r="BP259" s="30">
        <v>31.7</v>
      </c>
      <c r="BQ259">
        <v>2</v>
      </c>
      <c r="BR259">
        <v>4</v>
      </c>
      <c r="BS259">
        <f>0.98*328.1</f>
        <v>321.53800000000001</v>
      </c>
      <c r="BT259">
        <f>162*0.98</f>
        <v>158.76</v>
      </c>
      <c r="BU259" s="23">
        <v>0.3</v>
      </c>
    </row>
    <row r="260" spans="1:74">
      <c r="A260">
        <v>255</v>
      </c>
      <c r="B260" s="1">
        <v>1</v>
      </c>
      <c r="G260" t="s">
        <v>160</v>
      </c>
      <c r="H260" s="1" t="s">
        <v>324</v>
      </c>
      <c r="I260">
        <f t="shared" si="125"/>
        <v>29.498000000000001</v>
      </c>
      <c r="J260">
        <f t="shared" si="125"/>
        <v>29.498000000000001</v>
      </c>
      <c r="K260">
        <f t="shared" si="123"/>
        <v>29.498000000000001</v>
      </c>
      <c r="L260">
        <v>2000</v>
      </c>
      <c r="M260">
        <v>1400</v>
      </c>
      <c r="N260">
        <v>0</v>
      </c>
      <c r="O260">
        <v>294</v>
      </c>
      <c r="P260">
        <v>180</v>
      </c>
      <c r="Q260">
        <v>250</v>
      </c>
      <c r="R260" t="s">
        <v>39</v>
      </c>
      <c r="S260" s="30" t="s">
        <v>268</v>
      </c>
      <c r="T260">
        <v>15.9</v>
      </c>
      <c r="U260">
        <v>199</v>
      </c>
      <c r="V260" s="1">
        <f>360.4*0.98</f>
        <v>353.19199999999995</v>
      </c>
      <c r="W260" s="1">
        <f>192*0.98</f>
        <v>188.16</v>
      </c>
      <c r="X260" t="s">
        <v>40</v>
      </c>
      <c r="Y260">
        <v>80</v>
      </c>
      <c r="Z260">
        <v>2</v>
      </c>
      <c r="AA260">
        <v>6.35</v>
      </c>
      <c r="AB260">
        <v>31.7</v>
      </c>
      <c r="AC260">
        <f>328.1*0.98</f>
        <v>321.53800000000001</v>
      </c>
      <c r="AD260">
        <f>162*0.98</f>
        <v>158.76</v>
      </c>
      <c r="AE260">
        <v>3</v>
      </c>
      <c r="AF260">
        <v>40</v>
      </c>
      <c r="AG260">
        <v>0</v>
      </c>
      <c r="AH260">
        <v>0</v>
      </c>
      <c r="AI260">
        <v>3</v>
      </c>
      <c r="AJ260">
        <v>40</v>
      </c>
      <c r="AK260">
        <v>0</v>
      </c>
      <c r="AL260">
        <v>0</v>
      </c>
      <c r="AM260" s="30">
        <v>40</v>
      </c>
      <c r="AN260">
        <v>250</v>
      </c>
      <c r="AO260">
        <v>250</v>
      </c>
      <c r="AP260" t="s">
        <v>39</v>
      </c>
      <c r="AQ260" s="30" t="s">
        <v>76</v>
      </c>
      <c r="AR260">
        <v>15.9</v>
      </c>
      <c r="AS260">
        <v>199</v>
      </c>
      <c r="AT260">
        <f>393.3*0.98</f>
        <v>385.43400000000003</v>
      </c>
      <c r="AU260">
        <f>188*0.98</f>
        <v>184.24</v>
      </c>
      <c r="AV260" t="s">
        <v>40</v>
      </c>
      <c r="AW260">
        <v>50</v>
      </c>
      <c r="AX260">
        <v>2</v>
      </c>
      <c r="AY260">
        <v>6.35</v>
      </c>
      <c r="AZ260">
        <v>31.7</v>
      </c>
      <c r="BA260">
        <f>328.1*0.98</f>
        <v>321.53800000000001</v>
      </c>
      <c r="BB260">
        <f>162*0.98</f>
        <v>158.76</v>
      </c>
      <c r="BC260">
        <v>4</v>
      </c>
      <c r="BD260">
        <v>40</v>
      </c>
      <c r="BE260">
        <v>2</v>
      </c>
      <c r="BF260">
        <v>55</v>
      </c>
      <c r="BG260">
        <v>4</v>
      </c>
      <c r="BH260">
        <v>40</v>
      </c>
      <c r="BI260">
        <v>2</v>
      </c>
      <c r="BJ260">
        <v>55</v>
      </c>
      <c r="BK260" s="30">
        <v>40</v>
      </c>
      <c r="BL260" s="30">
        <v>0</v>
      </c>
      <c r="BM260" t="s">
        <v>166</v>
      </c>
      <c r="BN260" t="s">
        <v>797</v>
      </c>
      <c r="BP260" s="30">
        <v>31.7</v>
      </c>
      <c r="BQ260">
        <v>2</v>
      </c>
      <c r="BR260">
        <v>4</v>
      </c>
      <c r="BS260">
        <f>0.98*328.1</f>
        <v>321.53800000000001</v>
      </c>
      <c r="BT260">
        <f>162*0.98</f>
        <v>158.76</v>
      </c>
      <c r="BU260" s="23">
        <v>0.3</v>
      </c>
    </row>
    <row r="261" spans="1:74">
      <c r="A261">
        <v>256</v>
      </c>
      <c r="B261" s="1">
        <v>1</v>
      </c>
      <c r="G261" t="s">
        <v>158</v>
      </c>
      <c r="H261" s="1" t="s">
        <v>325</v>
      </c>
      <c r="I261">
        <f t="shared" si="125"/>
        <v>29.498000000000001</v>
      </c>
      <c r="J261">
        <f t="shared" si="125"/>
        <v>29.498000000000001</v>
      </c>
      <c r="K261">
        <f t="shared" si="123"/>
        <v>29.498000000000001</v>
      </c>
      <c r="L261">
        <v>2000</v>
      </c>
      <c r="M261">
        <v>1400</v>
      </c>
      <c r="N261">
        <v>0</v>
      </c>
      <c r="O261">
        <v>294</v>
      </c>
      <c r="P261">
        <v>180</v>
      </c>
      <c r="Q261">
        <v>250</v>
      </c>
      <c r="R261" t="s">
        <v>62</v>
      </c>
      <c r="S261" s="30" t="s">
        <v>278</v>
      </c>
      <c r="T261">
        <v>12.7</v>
      </c>
      <c r="U261">
        <v>127</v>
      </c>
      <c r="V261" s="1">
        <f>735.5*0.98</f>
        <v>720.79</v>
      </c>
      <c r="W261" s="1">
        <f>191*0.98</f>
        <v>187.18</v>
      </c>
      <c r="X261" t="s">
        <v>40</v>
      </c>
      <c r="Y261">
        <v>80</v>
      </c>
      <c r="Z261">
        <v>2</v>
      </c>
      <c r="AA261">
        <v>6.35</v>
      </c>
      <c r="AB261">
        <v>31.7</v>
      </c>
      <c r="AC261">
        <f>328.1*0.98</f>
        <v>321.53800000000001</v>
      </c>
      <c r="AD261">
        <f>162*0.98</f>
        <v>158.76</v>
      </c>
      <c r="AE261">
        <v>2</v>
      </c>
      <c r="AF261">
        <v>40</v>
      </c>
      <c r="AG261">
        <v>0</v>
      </c>
      <c r="AH261">
        <v>0</v>
      </c>
      <c r="AI261">
        <v>2</v>
      </c>
      <c r="AJ261">
        <v>40</v>
      </c>
      <c r="AK261">
        <v>0</v>
      </c>
      <c r="AL261">
        <v>0</v>
      </c>
      <c r="AM261" s="30">
        <v>40</v>
      </c>
      <c r="AN261">
        <v>250</v>
      </c>
      <c r="AO261">
        <v>250</v>
      </c>
      <c r="AP261" t="s">
        <v>39</v>
      </c>
      <c r="AQ261" s="30" t="s">
        <v>76</v>
      </c>
      <c r="AR261">
        <v>15.9</v>
      </c>
      <c r="AS261">
        <v>199</v>
      </c>
      <c r="AT261">
        <f>393.3*0.98</f>
        <v>385.43400000000003</v>
      </c>
      <c r="AU261">
        <f>188*0.98</f>
        <v>184.24</v>
      </c>
      <c r="AV261" t="s">
        <v>40</v>
      </c>
      <c r="AW261">
        <v>50</v>
      </c>
      <c r="AX261">
        <v>2</v>
      </c>
      <c r="AY261">
        <v>6.35</v>
      </c>
      <c r="AZ261">
        <v>31.7</v>
      </c>
      <c r="BA261">
        <f>328.1*0.98</f>
        <v>321.53800000000001</v>
      </c>
      <c r="BB261">
        <f>162*0.98</f>
        <v>158.76</v>
      </c>
      <c r="BC261">
        <v>4</v>
      </c>
      <c r="BD261">
        <v>40</v>
      </c>
      <c r="BE261">
        <v>2</v>
      </c>
      <c r="BF261">
        <v>55</v>
      </c>
      <c r="BG261">
        <v>4</v>
      </c>
      <c r="BH261">
        <v>40</v>
      </c>
      <c r="BI261">
        <v>2</v>
      </c>
      <c r="BJ261">
        <v>55</v>
      </c>
      <c r="BK261" s="30">
        <v>40</v>
      </c>
      <c r="BL261" s="30">
        <v>0</v>
      </c>
      <c r="BM261" t="s">
        <v>166</v>
      </c>
      <c r="BN261" t="s">
        <v>797</v>
      </c>
      <c r="BP261" s="30">
        <v>31.7</v>
      </c>
      <c r="BQ261">
        <v>2</v>
      </c>
      <c r="BR261">
        <v>4</v>
      </c>
      <c r="BS261">
        <f>0.98*328.1</f>
        <v>321.53800000000001</v>
      </c>
      <c r="BT261">
        <f>162*0.98</f>
        <v>158.76</v>
      </c>
      <c r="BU261" s="23">
        <v>0.3</v>
      </c>
    </row>
    <row r="262" spans="1:74">
      <c r="A262">
        <v>257</v>
      </c>
      <c r="B262" s="1">
        <v>1</v>
      </c>
      <c r="C262">
        <v>86</v>
      </c>
      <c r="D262" t="s">
        <v>110</v>
      </c>
      <c r="E262">
        <v>2005</v>
      </c>
      <c r="F262" t="s">
        <v>27</v>
      </c>
      <c r="G262" t="s">
        <v>158</v>
      </c>
      <c r="H262" s="1" t="s">
        <v>201</v>
      </c>
      <c r="I262">
        <v>57.5</v>
      </c>
      <c r="J262">
        <v>53.4</v>
      </c>
      <c r="K262">
        <f t="shared" si="123"/>
        <v>53.4</v>
      </c>
      <c r="L262">
        <v>2700</v>
      </c>
      <c r="M262">
        <v>1700</v>
      </c>
      <c r="N262">
        <v>0</v>
      </c>
      <c r="O262">
        <v>935.7</v>
      </c>
      <c r="P262">
        <v>300</v>
      </c>
      <c r="Q262">
        <v>400</v>
      </c>
      <c r="R262" t="s">
        <v>57</v>
      </c>
      <c r="S262" s="30" t="s">
        <v>256</v>
      </c>
      <c r="T262">
        <v>19.100000000000001</v>
      </c>
      <c r="U262">
        <v>287</v>
      </c>
      <c r="V262" s="1">
        <v>540.70000000000005</v>
      </c>
      <c r="W262" s="1">
        <v>191</v>
      </c>
      <c r="X262" t="s">
        <v>153</v>
      </c>
      <c r="Y262">
        <v>120</v>
      </c>
      <c r="Z262">
        <v>2</v>
      </c>
      <c r="AA262">
        <v>9.5299999999999994</v>
      </c>
      <c r="AB262">
        <v>71.3</v>
      </c>
      <c r="AC262">
        <v>370.3</v>
      </c>
      <c r="AD262">
        <v>184</v>
      </c>
      <c r="AE262">
        <v>4</v>
      </c>
      <c r="AF262">
        <v>40</v>
      </c>
      <c r="AG262">
        <v>0</v>
      </c>
      <c r="AH262">
        <v>0</v>
      </c>
      <c r="AI262">
        <v>4</v>
      </c>
      <c r="AJ262">
        <v>40</v>
      </c>
      <c r="AK262">
        <v>0</v>
      </c>
      <c r="AL262">
        <v>0</v>
      </c>
      <c r="AM262" s="30">
        <v>40</v>
      </c>
      <c r="AN262">
        <v>380</v>
      </c>
      <c r="AO262">
        <v>380</v>
      </c>
      <c r="AP262" t="s">
        <v>57</v>
      </c>
      <c r="AQ262" s="30" t="s">
        <v>256</v>
      </c>
      <c r="AR262">
        <v>19.100000000000001</v>
      </c>
      <c r="AS262">
        <v>287</v>
      </c>
      <c r="AT262">
        <v>540.70000000000005</v>
      </c>
      <c r="AU262">
        <v>191</v>
      </c>
      <c r="AV262" t="s">
        <v>153</v>
      </c>
      <c r="AW262">
        <v>100</v>
      </c>
      <c r="AX262">
        <v>4</v>
      </c>
      <c r="AY262">
        <v>9.5299999999999994</v>
      </c>
      <c r="AZ262">
        <v>71.3</v>
      </c>
      <c r="BA262">
        <v>370.3</v>
      </c>
      <c r="BB262">
        <v>184</v>
      </c>
      <c r="BC262">
        <v>4</v>
      </c>
      <c r="BD262">
        <v>40</v>
      </c>
      <c r="BE262">
        <v>2</v>
      </c>
      <c r="BF262">
        <v>90</v>
      </c>
      <c r="BG262">
        <v>4</v>
      </c>
      <c r="BH262">
        <v>40</v>
      </c>
      <c r="BI262">
        <v>2</v>
      </c>
      <c r="BJ262">
        <v>90</v>
      </c>
      <c r="BK262" s="30">
        <v>40</v>
      </c>
      <c r="BL262" s="30">
        <v>0</v>
      </c>
      <c r="BM262" t="s">
        <v>166</v>
      </c>
      <c r="BN262" t="s">
        <v>798</v>
      </c>
      <c r="BP262" s="30">
        <v>71.3</v>
      </c>
      <c r="BQ262">
        <v>3</v>
      </c>
      <c r="BR262">
        <v>6</v>
      </c>
      <c r="BS262">
        <v>370.3</v>
      </c>
      <c r="BT262">
        <v>184</v>
      </c>
      <c r="BU262" s="23">
        <v>0.35</v>
      </c>
    </row>
    <row r="263" spans="1:74">
      <c r="A263">
        <v>258</v>
      </c>
      <c r="B263" s="1">
        <v>1</v>
      </c>
      <c r="C263">
        <v>87</v>
      </c>
      <c r="D263" t="s">
        <v>111</v>
      </c>
      <c r="E263">
        <v>2005</v>
      </c>
      <c r="F263" t="s">
        <v>27</v>
      </c>
      <c r="G263" t="s">
        <v>158</v>
      </c>
      <c r="H263" s="1" t="s">
        <v>201</v>
      </c>
      <c r="I263">
        <v>61.4</v>
      </c>
      <c r="J263">
        <v>61.4</v>
      </c>
      <c r="K263">
        <f t="shared" si="123"/>
        <v>61.4</v>
      </c>
      <c r="L263">
        <v>3250</v>
      </c>
      <c r="M263">
        <v>1550</v>
      </c>
      <c r="N263">
        <v>0</v>
      </c>
      <c r="O263">
        <f>0.2*AN263*AO263*J263/1000</f>
        <v>2486.6999999999998</v>
      </c>
      <c r="P263">
        <v>326</v>
      </c>
      <c r="Q263">
        <v>370</v>
      </c>
      <c r="R263" t="s">
        <v>57</v>
      </c>
      <c r="S263" s="30" t="s">
        <v>256</v>
      </c>
      <c r="T263">
        <v>19.100000000000001</v>
      </c>
      <c r="U263">
        <v>287</v>
      </c>
      <c r="V263" s="1">
        <v>530</v>
      </c>
      <c r="W263" s="1">
        <v>201</v>
      </c>
      <c r="X263" t="s">
        <v>287</v>
      </c>
      <c r="Y263">
        <v>75</v>
      </c>
      <c r="Z263">
        <v>4</v>
      </c>
      <c r="AA263">
        <v>6.35</v>
      </c>
      <c r="AB263">
        <v>32</v>
      </c>
      <c r="AC263">
        <v>696</v>
      </c>
      <c r="AD263">
        <v>193</v>
      </c>
      <c r="AE263">
        <v>4</v>
      </c>
      <c r="AF263">
        <v>45</v>
      </c>
      <c r="AG263">
        <v>0</v>
      </c>
      <c r="AH263">
        <v>0</v>
      </c>
      <c r="AI263">
        <v>4</v>
      </c>
      <c r="AJ263">
        <v>45</v>
      </c>
      <c r="AK263">
        <v>0</v>
      </c>
      <c r="AL263">
        <v>0</v>
      </c>
      <c r="AM263" s="30">
        <v>45</v>
      </c>
      <c r="AN263">
        <v>450</v>
      </c>
      <c r="AO263">
        <v>450</v>
      </c>
      <c r="AP263" t="s">
        <v>57</v>
      </c>
      <c r="AQ263" s="30" t="s">
        <v>256</v>
      </c>
      <c r="AR263">
        <v>19.100000000000001</v>
      </c>
      <c r="AS263">
        <v>287</v>
      </c>
      <c r="AT263">
        <v>530</v>
      </c>
      <c r="AU263">
        <v>201</v>
      </c>
      <c r="AV263" t="s">
        <v>287</v>
      </c>
      <c r="AW263">
        <v>50</v>
      </c>
      <c r="AX263">
        <v>4</v>
      </c>
      <c r="AY263">
        <v>6.35</v>
      </c>
      <c r="AZ263">
        <v>32</v>
      </c>
      <c r="BA263">
        <v>696</v>
      </c>
      <c r="BB263">
        <v>193</v>
      </c>
      <c r="BC263">
        <v>4</v>
      </c>
      <c r="BD263">
        <v>50</v>
      </c>
      <c r="BE263">
        <v>2</v>
      </c>
      <c r="BF263">
        <v>100</v>
      </c>
      <c r="BG263">
        <v>4</v>
      </c>
      <c r="BH263">
        <v>50</v>
      </c>
      <c r="BI263">
        <v>2</v>
      </c>
      <c r="BJ263">
        <v>100</v>
      </c>
      <c r="BK263" s="30">
        <v>50</v>
      </c>
      <c r="BL263" s="30">
        <v>0</v>
      </c>
      <c r="BM263" t="s">
        <v>800</v>
      </c>
      <c r="BN263" t="s">
        <v>799</v>
      </c>
      <c r="BP263" s="30">
        <v>32</v>
      </c>
      <c r="BQ263">
        <v>3</v>
      </c>
      <c r="BR263">
        <v>12</v>
      </c>
      <c r="BS263">
        <v>696</v>
      </c>
      <c r="BT263">
        <v>193</v>
      </c>
      <c r="BV263" s="23" t="s">
        <v>801</v>
      </c>
    </row>
    <row r="264" spans="1:74">
      <c r="A264">
        <v>259</v>
      </c>
      <c r="B264" s="1">
        <v>1</v>
      </c>
      <c r="C264">
        <v>88</v>
      </c>
      <c r="D264" t="s">
        <v>28</v>
      </c>
      <c r="E264">
        <v>2005</v>
      </c>
      <c r="F264" t="s">
        <v>33</v>
      </c>
      <c r="G264" t="s">
        <v>84</v>
      </c>
      <c r="H264" s="1" t="s">
        <v>326</v>
      </c>
      <c r="I264">
        <v>31.2</v>
      </c>
      <c r="J264">
        <v>31.2</v>
      </c>
      <c r="K264">
        <v>31.2</v>
      </c>
      <c r="L264">
        <v>2850</v>
      </c>
      <c r="M264">
        <v>2330</v>
      </c>
      <c r="N264">
        <v>0</v>
      </c>
      <c r="O264">
        <v>588</v>
      </c>
      <c r="P264">
        <v>300</v>
      </c>
      <c r="Q264">
        <v>350</v>
      </c>
      <c r="R264" t="s">
        <v>57</v>
      </c>
      <c r="T264">
        <v>19.100000000000001</v>
      </c>
      <c r="U264">
        <v>287</v>
      </c>
      <c r="V264" s="1">
        <v>445</v>
      </c>
      <c r="W264" s="1">
        <v>182</v>
      </c>
      <c r="X264" t="s">
        <v>153</v>
      </c>
      <c r="Y264">
        <v>60</v>
      </c>
      <c r="Z264">
        <v>2</v>
      </c>
      <c r="AA264">
        <v>9.5299999999999994</v>
      </c>
      <c r="AB264">
        <v>71.3</v>
      </c>
      <c r="AC264">
        <v>389</v>
      </c>
      <c r="AD264">
        <v>186</v>
      </c>
      <c r="AE264">
        <v>5</v>
      </c>
      <c r="AF264">
        <v>38</v>
      </c>
      <c r="AG264">
        <v>0</v>
      </c>
      <c r="AH264">
        <v>0</v>
      </c>
      <c r="AI264">
        <v>5</v>
      </c>
      <c r="AJ264">
        <v>38</v>
      </c>
      <c r="AK264">
        <v>0</v>
      </c>
      <c r="AL264">
        <v>0</v>
      </c>
      <c r="AN264">
        <v>350</v>
      </c>
      <c r="AO264">
        <v>350</v>
      </c>
      <c r="AP264" t="s">
        <v>39</v>
      </c>
      <c r="AR264">
        <v>15.9</v>
      </c>
      <c r="AS264">
        <v>199</v>
      </c>
      <c r="AT264">
        <v>437</v>
      </c>
      <c r="AU264">
        <v>185</v>
      </c>
      <c r="AV264" t="s">
        <v>153</v>
      </c>
      <c r="AW264">
        <v>60</v>
      </c>
      <c r="AX264">
        <v>2</v>
      </c>
      <c r="AY264">
        <v>9.5299999999999994</v>
      </c>
      <c r="AZ264">
        <v>71.3</v>
      </c>
      <c r="BA264">
        <v>389</v>
      </c>
      <c r="BB264">
        <v>186</v>
      </c>
      <c r="BC264">
        <v>2</v>
      </c>
      <c r="BD264">
        <v>38</v>
      </c>
      <c r="BE264">
        <v>2</v>
      </c>
      <c r="BF264">
        <v>55</v>
      </c>
      <c r="BG264">
        <v>2</v>
      </c>
      <c r="BH264">
        <v>38</v>
      </c>
      <c r="BI264">
        <v>2</v>
      </c>
      <c r="BJ264">
        <v>55</v>
      </c>
      <c r="BL264" s="30">
        <v>4</v>
      </c>
      <c r="BM264" t="s">
        <v>166</v>
      </c>
      <c r="BN264" t="s">
        <v>153</v>
      </c>
      <c r="BP264" s="30">
        <v>71.3</v>
      </c>
      <c r="BQ264">
        <v>2</v>
      </c>
      <c r="BR264">
        <v>4</v>
      </c>
      <c r="BS264">
        <v>389</v>
      </c>
      <c r="BT264">
        <v>186</v>
      </c>
      <c r="BV264" s="23" t="s">
        <v>801</v>
      </c>
    </row>
    <row r="265" spans="1:74">
      <c r="A265">
        <v>260</v>
      </c>
      <c r="B265" s="1">
        <v>1</v>
      </c>
      <c r="G265" t="s">
        <v>160</v>
      </c>
      <c r="H265" s="1" t="s">
        <v>327</v>
      </c>
      <c r="I265">
        <v>31.2</v>
      </c>
      <c r="J265">
        <v>31.2</v>
      </c>
      <c r="K265">
        <v>31.2</v>
      </c>
      <c r="L265">
        <v>2850</v>
      </c>
      <c r="M265">
        <v>2330</v>
      </c>
      <c r="N265">
        <v>0</v>
      </c>
      <c r="O265">
        <v>0</v>
      </c>
      <c r="P265">
        <v>300</v>
      </c>
      <c r="Q265">
        <v>350</v>
      </c>
      <c r="R265" t="s">
        <v>57</v>
      </c>
      <c r="T265">
        <v>19.100000000000001</v>
      </c>
      <c r="U265">
        <v>287</v>
      </c>
      <c r="V265" s="1">
        <v>445</v>
      </c>
      <c r="W265" s="1">
        <v>182</v>
      </c>
      <c r="X265" t="s">
        <v>153</v>
      </c>
      <c r="Y265">
        <v>60</v>
      </c>
      <c r="Z265">
        <v>2</v>
      </c>
      <c r="AA265">
        <v>9.5299999999999994</v>
      </c>
      <c r="AB265">
        <v>71.3</v>
      </c>
      <c r="AC265">
        <v>389</v>
      </c>
      <c r="AD265">
        <v>186</v>
      </c>
      <c r="AE265">
        <v>5</v>
      </c>
      <c r="AF265">
        <v>38</v>
      </c>
      <c r="AG265">
        <v>0</v>
      </c>
      <c r="AH265">
        <v>0</v>
      </c>
      <c r="AI265">
        <v>5</v>
      </c>
      <c r="AJ265">
        <v>38</v>
      </c>
      <c r="AK265">
        <v>0</v>
      </c>
      <c r="AL265">
        <v>0</v>
      </c>
      <c r="AN265">
        <v>350</v>
      </c>
      <c r="AO265">
        <v>350</v>
      </c>
      <c r="AP265" t="s">
        <v>39</v>
      </c>
      <c r="AR265">
        <v>15.9</v>
      </c>
      <c r="AS265">
        <v>199</v>
      </c>
      <c r="AT265">
        <v>437</v>
      </c>
      <c r="AU265">
        <v>185</v>
      </c>
      <c r="AV265" t="s">
        <v>153</v>
      </c>
      <c r="AW265">
        <v>60</v>
      </c>
      <c r="AX265">
        <v>2</v>
      </c>
      <c r="AY265">
        <v>9.5299999999999994</v>
      </c>
      <c r="AZ265">
        <v>71.3</v>
      </c>
      <c r="BA265">
        <v>389</v>
      </c>
      <c r="BB265">
        <v>186</v>
      </c>
      <c r="BC265">
        <v>2</v>
      </c>
      <c r="BD265">
        <v>38</v>
      </c>
      <c r="BE265">
        <v>2</v>
      </c>
      <c r="BF265">
        <v>55</v>
      </c>
      <c r="BG265">
        <v>2</v>
      </c>
      <c r="BH265">
        <v>38</v>
      </c>
      <c r="BI265">
        <v>2</v>
      </c>
      <c r="BJ265">
        <v>55</v>
      </c>
      <c r="BL265" s="30">
        <v>4</v>
      </c>
      <c r="BM265" t="s">
        <v>166</v>
      </c>
      <c r="BN265" t="s">
        <v>153</v>
      </c>
      <c r="BP265" s="30">
        <v>71.3</v>
      </c>
      <c r="BQ265">
        <v>2</v>
      </c>
      <c r="BR265">
        <v>4</v>
      </c>
      <c r="BS265">
        <v>389</v>
      </c>
      <c r="BT265">
        <v>186</v>
      </c>
      <c r="BV265" s="23" t="s">
        <v>801</v>
      </c>
    </row>
    <row r="266" spans="1:74">
      <c r="A266">
        <v>261</v>
      </c>
      <c r="B266" s="1">
        <v>1</v>
      </c>
      <c r="G266" t="s">
        <v>84</v>
      </c>
      <c r="H266" s="1" t="s">
        <v>328</v>
      </c>
      <c r="I266">
        <v>31.2</v>
      </c>
      <c r="J266">
        <v>31.2</v>
      </c>
      <c r="K266">
        <v>31.2</v>
      </c>
      <c r="L266">
        <v>2850</v>
      </c>
      <c r="M266">
        <v>2330</v>
      </c>
      <c r="N266">
        <v>0</v>
      </c>
      <c r="O266">
        <v>588</v>
      </c>
      <c r="P266">
        <v>300</v>
      </c>
      <c r="Q266">
        <v>350</v>
      </c>
      <c r="R266" t="s">
        <v>57</v>
      </c>
      <c r="T266">
        <v>19.100000000000001</v>
      </c>
      <c r="U266">
        <v>287</v>
      </c>
      <c r="V266" s="1">
        <v>445</v>
      </c>
      <c r="W266" s="1">
        <v>182</v>
      </c>
      <c r="X266" t="s">
        <v>153</v>
      </c>
      <c r="Y266">
        <v>60</v>
      </c>
      <c r="Z266">
        <v>2</v>
      </c>
      <c r="AA266">
        <v>9.5299999999999994</v>
      </c>
      <c r="AB266">
        <v>71.3</v>
      </c>
      <c r="AC266">
        <v>389</v>
      </c>
      <c r="AD266">
        <v>186</v>
      </c>
      <c r="AE266">
        <v>5</v>
      </c>
      <c r="AF266">
        <v>38</v>
      </c>
      <c r="AG266">
        <v>0</v>
      </c>
      <c r="AH266">
        <v>0</v>
      </c>
      <c r="AI266">
        <v>5</v>
      </c>
      <c r="AJ266">
        <v>38</v>
      </c>
      <c r="AK266">
        <v>0</v>
      </c>
      <c r="AL266">
        <v>0</v>
      </c>
      <c r="AN266">
        <v>350</v>
      </c>
      <c r="AO266">
        <v>350</v>
      </c>
      <c r="AP266" t="s">
        <v>39</v>
      </c>
      <c r="AR266">
        <v>15.9</v>
      </c>
      <c r="AS266">
        <v>199</v>
      </c>
      <c r="AT266">
        <v>437</v>
      </c>
      <c r="AU266">
        <v>185</v>
      </c>
      <c r="AV266" t="s">
        <v>153</v>
      </c>
      <c r="AW266">
        <v>60</v>
      </c>
      <c r="AX266">
        <v>2</v>
      </c>
      <c r="AY266">
        <v>9.5299999999999994</v>
      </c>
      <c r="AZ266">
        <v>71.3</v>
      </c>
      <c r="BA266">
        <v>389</v>
      </c>
      <c r="BB266">
        <v>186</v>
      </c>
      <c r="BC266">
        <v>2</v>
      </c>
      <c r="BD266">
        <v>38</v>
      </c>
      <c r="BE266">
        <v>2</v>
      </c>
      <c r="BF266">
        <v>55</v>
      </c>
      <c r="BG266">
        <v>2</v>
      </c>
      <c r="BH266">
        <v>38</v>
      </c>
      <c r="BI266">
        <v>2</v>
      </c>
      <c r="BJ266">
        <v>55</v>
      </c>
      <c r="BL266" s="30">
        <v>4</v>
      </c>
      <c r="BM266" t="s">
        <v>166</v>
      </c>
      <c r="BN266" t="s">
        <v>153</v>
      </c>
      <c r="BP266" s="30">
        <v>71.3</v>
      </c>
      <c r="BQ266">
        <v>2</v>
      </c>
      <c r="BR266">
        <v>4</v>
      </c>
      <c r="BS266">
        <v>389</v>
      </c>
      <c r="BT266">
        <v>186</v>
      </c>
      <c r="BV266" s="23" t="s">
        <v>801</v>
      </c>
    </row>
    <row r="267" spans="1:74">
      <c r="A267">
        <v>262</v>
      </c>
      <c r="B267" s="1">
        <v>1</v>
      </c>
      <c r="C267">
        <v>89</v>
      </c>
      <c r="D267" t="s">
        <v>112</v>
      </c>
      <c r="E267">
        <v>2005</v>
      </c>
      <c r="F267" t="s">
        <v>33</v>
      </c>
      <c r="G267" t="s">
        <v>160</v>
      </c>
      <c r="H267" s="1" t="s">
        <v>329</v>
      </c>
      <c r="I267">
        <v>30.5</v>
      </c>
      <c r="J267">
        <v>30.5</v>
      </c>
      <c r="K267">
        <v>30.5</v>
      </c>
      <c r="L267">
        <v>1474</v>
      </c>
      <c r="M267">
        <v>820</v>
      </c>
      <c r="N267">
        <v>0</v>
      </c>
      <c r="O267">
        <v>0</v>
      </c>
      <c r="P267">
        <v>140</v>
      </c>
      <c r="Q267">
        <v>200</v>
      </c>
      <c r="R267" t="s">
        <v>62</v>
      </c>
      <c r="S267" s="30" t="s">
        <v>76</v>
      </c>
      <c r="T267">
        <v>12.7</v>
      </c>
      <c r="U267">
        <v>127</v>
      </c>
      <c r="V267" s="1">
        <v>368</v>
      </c>
      <c r="W267" s="1">
        <v>186</v>
      </c>
      <c r="X267" t="s">
        <v>40</v>
      </c>
      <c r="Y267">
        <v>50</v>
      </c>
      <c r="Z267">
        <v>2</v>
      </c>
      <c r="AA267">
        <v>6.35</v>
      </c>
      <c r="AB267">
        <v>31.7</v>
      </c>
      <c r="AC267">
        <v>365</v>
      </c>
      <c r="AD267">
        <v>190</v>
      </c>
      <c r="AE267">
        <v>3</v>
      </c>
      <c r="AF267">
        <v>30</v>
      </c>
      <c r="AG267">
        <v>0</v>
      </c>
      <c r="AH267">
        <v>0</v>
      </c>
      <c r="AI267">
        <v>3</v>
      </c>
      <c r="AJ267">
        <v>30</v>
      </c>
      <c r="AK267">
        <v>0</v>
      </c>
      <c r="AL267">
        <v>0</v>
      </c>
      <c r="AN267">
        <v>200</v>
      </c>
      <c r="AO267">
        <v>200</v>
      </c>
      <c r="AP267" t="s">
        <v>62</v>
      </c>
      <c r="AQ267" s="30" t="s">
        <v>76</v>
      </c>
      <c r="AR267">
        <v>12.7</v>
      </c>
      <c r="AS267">
        <v>127</v>
      </c>
      <c r="AT267">
        <v>368</v>
      </c>
      <c r="AU267">
        <v>186</v>
      </c>
      <c r="AV267" t="s">
        <v>40</v>
      </c>
      <c r="AW267">
        <v>50</v>
      </c>
      <c r="AX267">
        <v>2</v>
      </c>
      <c r="AY267">
        <v>6.35</v>
      </c>
      <c r="AZ267">
        <v>31.7</v>
      </c>
      <c r="BA267">
        <v>365</v>
      </c>
      <c r="BB267">
        <v>190</v>
      </c>
      <c r="BC267">
        <v>4</v>
      </c>
      <c r="BD267">
        <v>30</v>
      </c>
      <c r="BE267">
        <v>2</v>
      </c>
      <c r="BF267">
        <v>45</v>
      </c>
      <c r="BG267">
        <v>4</v>
      </c>
      <c r="BH267">
        <v>30</v>
      </c>
      <c r="BI267">
        <v>2</v>
      </c>
      <c r="BJ267">
        <v>45</v>
      </c>
      <c r="BL267" s="30">
        <v>0</v>
      </c>
      <c r="BM267" t="s">
        <v>166</v>
      </c>
      <c r="BN267" t="s">
        <v>40</v>
      </c>
      <c r="BP267" s="30">
        <v>31.7</v>
      </c>
      <c r="BQ267">
        <v>3</v>
      </c>
      <c r="BR267">
        <v>6</v>
      </c>
      <c r="BS267" s="1">
        <v>365</v>
      </c>
      <c r="BT267" s="1">
        <v>190</v>
      </c>
      <c r="BU267" s="75"/>
      <c r="BV267" s="75" t="s">
        <v>801</v>
      </c>
    </row>
    <row r="268" spans="1:74">
      <c r="A268">
        <v>263</v>
      </c>
      <c r="B268" s="1">
        <v>1</v>
      </c>
      <c r="C268">
        <v>90</v>
      </c>
      <c r="D268" t="s">
        <v>113</v>
      </c>
      <c r="E268">
        <v>2005</v>
      </c>
      <c r="F268" t="s">
        <v>33</v>
      </c>
      <c r="G268" t="s">
        <v>160</v>
      </c>
      <c r="H268" s="1" t="s">
        <v>330</v>
      </c>
      <c r="I268">
        <v>20.7</v>
      </c>
      <c r="J268">
        <v>20.7</v>
      </c>
      <c r="K268">
        <v>20.7</v>
      </c>
      <c r="L268">
        <v>1400</v>
      </c>
      <c r="M268">
        <v>820</v>
      </c>
      <c r="N268">
        <v>0</v>
      </c>
      <c r="O268">
        <v>0</v>
      </c>
      <c r="P268">
        <v>120</v>
      </c>
      <c r="Q268">
        <v>200</v>
      </c>
      <c r="R268" t="s">
        <v>62</v>
      </c>
      <c r="S268" s="30" t="s">
        <v>76</v>
      </c>
      <c r="T268">
        <v>12.7</v>
      </c>
      <c r="U268">
        <v>127</v>
      </c>
      <c r="V268" s="1">
        <v>378</v>
      </c>
      <c r="W268" s="1">
        <v>205</v>
      </c>
      <c r="X268" t="s">
        <v>305</v>
      </c>
      <c r="Y268">
        <v>50</v>
      </c>
      <c r="Z268">
        <v>2</v>
      </c>
      <c r="AA268">
        <v>3.2</v>
      </c>
      <c r="AB268">
        <v>8</v>
      </c>
      <c r="AC268">
        <v>204</v>
      </c>
      <c r="AD268" s="16">
        <v>205</v>
      </c>
      <c r="AE268">
        <v>3</v>
      </c>
      <c r="AF268">
        <v>30</v>
      </c>
      <c r="AG268">
        <v>0</v>
      </c>
      <c r="AH268">
        <v>0</v>
      </c>
      <c r="AI268">
        <v>3</v>
      </c>
      <c r="AJ268">
        <v>30</v>
      </c>
      <c r="AK268">
        <v>0</v>
      </c>
      <c r="AL268">
        <v>0</v>
      </c>
      <c r="AN268">
        <v>200</v>
      </c>
      <c r="AO268">
        <v>200</v>
      </c>
      <c r="AP268" t="s">
        <v>62</v>
      </c>
      <c r="AQ268" s="30" t="s">
        <v>76</v>
      </c>
      <c r="AR268">
        <v>12.7</v>
      </c>
      <c r="AS268">
        <v>127</v>
      </c>
      <c r="AT268">
        <v>378</v>
      </c>
      <c r="AU268">
        <v>205</v>
      </c>
      <c r="AV268" t="s">
        <v>305</v>
      </c>
      <c r="AW268">
        <v>25</v>
      </c>
      <c r="AX268">
        <v>2</v>
      </c>
      <c r="AY268">
        <v>3.2</v>
      </c>
      <c r="AZ268">
        <v>8</v>
      </c>
      <c r="BA268">
        <v>204</v>
      </c>
      <c r="BC268">
        <v>4</v>
      </c>
      <c r="BD268">
        <v>30</v>
      </c>
      <c r="BE268">
        <v>2</v>
      </c>
      <c r="BF268">
        <v>45</v>
      </c>
      <c r="BG268">
        <v>4</v>
      </c>
      <c r="BH268">
        <v>30</v>
      </c>
      <c r="BI268">
        <v>2</v>
      </c>
      <c r="BJ268">
        <v>45</v>
      </c>
      <c r="BL268" s="30">
        <v>0</v>
      </c>
      <c r="BM268" t="s">
        <v>166</v>
      </c>
      <c r="BN268" t="s">
        <v>305</v>
      </c>
      <c r="BP268" s="30">
        <v>8</v>
      </c>
      <c r="BQ268">
        <v>6</v>
      </c>
      <c r="BR268">
        <v>12</v>
      </c>
      <c r="BS268">
        <v>204</v>
      </c>
      <c r="BT268">
        <v>205</v>
      </c>
      <c r="BV268" s="23" t="s">
        <v>801</v>
      </c>
    </row>
    <row r="269" spans="1:74">
      <c r="A269">
        <v>264</v>
      </c>
      <c r="B269" s="1">
        <v>2</v>
      </c>
      <c r="C269">
        <v>91</v>
      </c>
      <c r="D269" t="s">
        <v>114</v>
      </c>
      <c r="E269">
        <v>2006</v>
      </c>
      <c r="F269" t="s">
        <v>27</v>
      </c>
      <c r="G269" t="s">
        <v>158</v>
      </c>
      <c r="H269" s="52" t="s">
        <v>331</v>
      </c>
      <c r="I269">
        <v>29.9</v>
      </c>
      <c r="J269">
        <v>29.9</v>
      </c>
      <c r="K269">
        <f t="shared" ref="K269:K277" si="126">J269</f>
        <v>29.9</v>
      </c>
      <c r="L269">
        <v>2400</v>
      </c>
      <c r="M269">
        <v>1300</v>
      </c>
      <c r="N269">
        <v>0</v>
      </c>
      <c r="O269">
        <v>190</v>
      </c>
      <c r="P269">
        <v>200</v>
      </c>
      <c r="Q269">
        <v>300</v>
      </c>
      <c r="R269" t="s">
        <v>39</v>
      </c>
      <c r="T269">
        <v>15.9</v>
      </c>
      <c r="U269">
        <v>199</v>
      </c>
      <c r="V269" s="1">
        <v>418.8</v>
      </c>
      <c r="W269" s="1">
        <v>206</v>
      </c>
      <c r="X269" t="s">
        <v>40</v>
      </c>
      <c r="Y269">
        <v>50</v>
      </c>
      <c r="Z269">
        <v>2</v>
      </c>
      <c r="AA269">
        <v>6.35</v>
      </c>
      <c r="AB269">
        <v>31.7</v>
      </c>
      <c r="AC269">
        <v>568.4</v>
      </c>
      <c r="AD269">
        <v>261</v>
      </c>
      <c r="AE269">
        <v>2</v>
      </c>
      <c r="AF269">
        <v>30</v>
      </c>
      <c r="AG269">
        <v>0</v>
      </c>
      <c r="AH269">
        <v>0</v>
      </c>
      <c r="AI269">
        <v>2</v>
      </c>
      <c r="AJ269">
        <v>30</v>
      </c>
      <c r="AK269">
        <v>0</v>
      </c>
      <c r="AL269">
        <v>0</v>
      </c>
      <c r="AM269" s="30">
        <v>30</v>
      </c>
      <c r="AN269">
        <v>250</v>
      </c>
      <c r="AO269">
        <v>250</v>
      </c>
      <c r="AP269" t="s">
        <v>39</v>
      </c>
      <c r="AR269">
        <v>15.9</v>
      </c>
      <c r="AS269">
        <v>199</v>
      </c>
      <c r="AT269">
        <v>418.8</v>
      </c>
      <c r="AU269">
        <v>206</v>
      </c>
      <c r="AV269" t="s">
        <v>40</v>
      </c>
      <c r="AW269">
        <v>50</v>
      </c>
      <c r="AX269">
        <v>2</v>
      </c>
      <c r="AY269">
        <v>6.35</v>
      </c>
      <c r="AZ269">
        <v>31.7</v>
      </c>
      <c r="BA269">
        <v>568.4</v>
      </c>
      <c r="BB269">
        <v>261</v>
      </c>
      <c r="BC269">
        <v>4</v>
      </c>
      <c r="BD269">
        <v>30</v>
      </c>
      <c r="BE269">
        <v>1</v>
      </c>
      <c r="BF269">
        <v>70</v>
      </c>
      <c r="BG269">
        <v>4</v>
      </c>
      <c r="BH269">
        <v>30</v>
      </c>
      <c r="BI269">
        <v>1</v>
      </c>
      <c r="BJ269">
        <v>70</v>
      </c>
      <c r="BK269" s="30">
        <v>30</v>
      </c>
      <c r="BL269" s="30">
        <v>0</v>
      </c>
      <c r="BM269" t="s">
        <v>166</v>
      </c>
      <c r="BN269" t="s">
        <v>797</v>
      </c>
      <c r="BQ269">
        <v>4</v>
      </c>
      <c r="BR269">
        <v>8</v>
      </c>
      <c r="BS269">
        <v>568.4</v>
      </c>
      <c r="BT269">
        <v>261</v>
      </c>
    </row>
    <row r="270" spans="1:74">
      <c r="A270">
        <v>265</v>
      </c>
      <c r="B270" s="1">
        <v>2</v>
      </c>
      <c r="G270" t="s">
        <v>158</v>
      </c>
      <c r="H270" s="52" t="s">
        <v>115</v>
      </c>
      <c r="I270">
        <v>28.8</v>
      </c>
      <c r="J270">
        <v>28.8</v>
      </c>
      <c r="K270">
        <f t="shared" si="126"/>
        <v>28.8</v>
      </c>
      <c r="L270">
        <v>2400</v>
      </c>
      <c r="M270">
        <v>1300</v>
      </c>
      <c r="N270">
        <v>0</v>
      </c>
      <c r="O270">
        <v>190</v>
      </c>
      <c r="P270">
        <v>200</v>
      </c>
      <c r="Q270">
        <v>300</v>
      </c>
      <c r="R270" t="s">
        <v>153</v>
      </c>
      <c r="T270">
        <v>9.5299999999999994</v>
      </c>
      <c r="U270">
        <v>71.3</v>
      </c>
      <c r="V270" s="1">
        <v>350.4</v>
      </c>
      <c r="W270" s="1">
        <v>184</v>
      </c>
      <c r="X270" t="s">
        <v>40</v>
      </c>
      <c r="Y270">
        <v>50</v>
      </c>
      <c r="Z270">
        <v>2</v>
      </c>
      <c r="AA270">
        <v>6.35</v>
      </c>
      <c r="AB270">
        <v>31.7</v>
      </c>
      <c r="AC270">
        <v>568.4</v>
      </c>
      <c r="AD270">
        <v>261</v>
      </c>
      <c r="AE270">
        <v>5</v>
      </c>
      <c r="AF270">
        <v>30</v>
      </c>
      <c r="AG270">
        <v>0</v>
      </c>
      <c r="AH270">
        <v>0</v>
      </c>
      <c r="AI270">
        <v>5</v>
      </c>
      <c r="AJ270">
        <v>30</v>
      </c>
      <c r="AK270">
        <v>0</v>
      </c>
      <c r="AL270">
        <v>0</v>
      </c>
      <c r="AM270" s="30">
        <v>30</v>
      </c>
      <c r="AN270">
        <v>250</v>
      </c>
      <c r="AO270">
        <v>250</v>
      </c>
      <c r="AP270" t="s">
        <v>39</v>
      </c>
      <c r="AR270">
        <v>15.9</v>
      </c>
      <c r="AS270">
        <v>199</v>
      </c>
      <c r="AT270">
        <v>418.8</v>
      </c>
      <c r="AU270">
        <v>206</v>
      </c>
      <c r="AV270" t="s">
        <v>40</v>
      </c>
      <c r="AW270">
        <v>50</v>
      </c>
      <c r="AX270">
        <v>2</v>
      </c>
      <c r="AY270">
        <v>6.35</v>
      </c>
      <c r="AZ270">
        <v>31.7</v>
      </c>
      <c r="BA270">
        <v>568.4</v>
      </c>
      <c r="BB270">
        <v>261</v>
      </c>
      <c r="BC270">
        <v>4</v>
      </c>
      <c r="BD270">
        <v>30</v>
      </c>
      <c r="BE270">
        <v>1</v>
      </c>
      <c r="BF270">
        <v>70</v>
      </c>
      <c r="BG270">
        <v>4</v>
      </c>
      <c r="BH270">
        <v>30</v>
      </c>
      <c r="BI270">
        <v>1</v>
      </c>
      <c r="BJ270">
        <v>70</v>
      </c>
      <c r="BK270" s="30">
        <v>30</v>
      </c>
      <c r="BL270" s="30">
        <v>0</v>
      </c>
      <c r="BM270" t="s">
        <v>166</v>
      </c>
      <c r="BN270" t="s">
        <v>797</v>
      </c>
      <c r="BQ270">
        <v>4</v>
      </c>
      <c r="BR270">
        <v>8</v>
      </c>
      <c r="BS270">
        <v>568.4</v>
      </c>
      <c r="BT270">
        <v>261</v>
      </c>
    </row>
    <row r="271" spans="1:74">
      <c r="A271">
        <v>266</v>
      </c>
      <c r="B271" s="1">
        <v>1</v>
      </c>
      <c r="G271" t="s">
        <v>158</v>
      </c>
      <c r="H271" s="1" t="s">
        <v>116</v>
      </c>
      <c r="I271">
        <v>28.8</v>
      </c>
      <c r="J271">
        <v>28.8</v>
      </c>
      <c r="K271">
        <f t="shared" si="126"/>
        <v>28.8</v>
      </c>
      <c r="L271">
        <v>2400</v>
      </c>
      <c r="M271">
        <v>1300</v>
      </c>
      <c r="N271">
        <v>0</v>
      </c>
      <c r="O271">
        <v>190</v>
      </c>
      <c r="P271">
        <v>200</v>
      </c>
      <c r="Q271">
        <v>300</v>
      </c>
      <c r="R271" t="s">
        <v>39</v>
      </c>
      <c r="T271">
        <v>19.100000000000001</v>
      </c>
      <c r="U271">
        <v>199</v>
      </c>
      <c r="V271" s="1">
        <v>391</v>
      </c>
      <c r="W271" s="1">
        <v>186</v>
      </c>
      <c r="X271" t="s">
        <v>40</v>
      </c>
      <c r="Y271">
        <v>50</v>
      </c>
      <c r="Z271">
        <v>2</v>
      </c>
      <c r="AA271">
        <v>6.35</v>
      </c>
      <c r="AB271">
        <v>31.7</v>
      </c>
      <c r="AC271">
        <v>460.4</v>
      </c>
      <c r="AD271">
        <v>205</v>
      </c>
      <c r="AE271">
        <v>2</v>
      </c>
      <c r="AF271">
        <v>30</v>
      </c>
      <c r="AG271">
        <v>0</v>
      </c>
      <c r="AH271">
        <v>0</v>
      </c>
      <c r="AI271">
        <v>2</v>
      </c>
      <c r="AJ271">
        <v>30</v>
      </c>
      <c r="AK271">
        <v>0</v>
      </c>
      <c r="AL271">
        <v>0</v>
      </c>
      <c r="AM271" s="30">
        <v>30</v>
      </c>
      <c r="AN271">
        <v>250</v>
      </c>
      <c r="AO271">
        <v>250</v>
      </c>
      <c r="AP271" t="s">
        <v>39</v>
      </c>
      <c r="AR271">
        <v>15.9</v>
      </c>
      <c r="AS271">
        <v>199</v>
      </c>
      <c r="AT271">
        <v>391</v>
      </c>
      <c r="AU271">
        <v>186</v>
      </c>
      <c r="AV271" t="s">
        <v>40</v>
      </c>
      <c r="AW271">
        <v>50</v>
      </c>
      <c r="AX271">
        <v>2</v>
      </c>
      <c r="AY271">
        <v>6.35</v>
      </c>
      <c r="AZ271">
        <v>31.7</v>
      </c>
      <c r="BA271">
        <v>460.4</v>
      </c>
      <c r="BB271">
        <v>205</v>
      </c>
      <c r="BC271">
        <v>4</v>
      </c>
      <c r="BD271">
        <v>30</v>
      </c>
      <c r="BE271">
        <v>1</v>
      </c>
      <c r="BF271">
        <v>70</v>
      </c>
      <c r="BG271">
        <v>4</v>
      </c>
      <c r="BH271">
        <v>30</v>
      </c>
      <c r="BI271">
        <v>1</v>
      </c>
      <c r="BJ271">
        <v>70</v>
      </c>
      <c r="BK271" s="30">
        <v>30</v>
      </c>
      <c r="BL271" s="30">
        <v>0</v>
      </c>
      <c r="BM271" t="s">
        <v>166</v>
      </c>
      <c r="BN271" t="s">
        <v>40</v>
      </c>
      <c r="BP271" s="30">
        <v>31.7</v>
      </c>
      <c r="BQ271">
        <v>4</v>
      </c>
      <c r="BR271">
        <v>8</v>
      </c>
      <c r="BS271">
        <v>460.4</v>
      </c>
      <c r="BT271">
        <v>205</v>
      </c>
    </row>
    <row r="272" spans="1:74">
      <c r="A272">
        <v>267</v>
      </c>
      <c r="B272" s="1">
        <v>1</v>
      </c>
      <c r="G272" t="s">
        <v>158</v>
      </c>
      <c r="H272" s="1" t="s">
        <v>117</v>
      </c>
      <c r="I272">
        <v>28.6</v>
      </c>
      <c r="J272">
        <v>28.6</v>
      </c>
      <c r="K272">
        <f t="shared" si="126"/>
        <v>28.6</v>
      </c>
      <c r="L272">
        <v>2400</v>
      </c>
      <c r="M272">
        <v>1300</v>
      </c>
      <c r="N272">
        <v>0</v>
      </c>
      <c r="O272">
        <v>190</v>
      </c>
      <c r="P272">
        <v>200</v>
      </c>
      <c r="Q272">
        <v>300</v>
      </c>
      <c r="R272" t="s">
        <v>153</v>
      </c>
      <c r="T272">
        <v>9.5299999999999994</v>
      </c>
      <c r="U272">
        <v>71.3</v>
      </c>
      <c r="V272" s="1">
        <v>398.7</v>
      </c>
      <c r="W272" s="1">
        <v>187</v>
      </c>
      <c r="X272" t="s">
        <v>40</v>
      </c>
      <c r="Y272">
        <v>50</v>
      </c>
      <c r="Z272">
        <v>2</v>
      </c>
      <c r="AA272">
        <v>6.35</v>
      </c>
      <c r="AB272">
        <v>31.7</v>
      </c>
      <c r="AC272">
        <v>460.4</v>
      </c>
      <c r="AD272">
        <v>205</v>
      </c>
      <c r="AE272">
        <v>5</v>
      </c>
      <c r="AF272">
        <v>30</v>
      </c>
      <c r="AG272">
        <v>0</v>
      </c>
      <c r="AH272">
        <v>0</v>
      </c>
      <c r="AI272">
        <v>5</v>
      </c>
      <c r="AJ272">
        <v>30</v>
      </c>
      <c r="AK272">
        <v>0</v>
      </c>
      <c r="AL272">
        <v>0</v>
      </c>
      <c r="AM272" s="30">
        <v>30</v>
      </c>
      <c r="AN272">
        <v>250</v>
      </c>
      <c r="AO272">
        <v>250</v>
      </c>
      <c r="AP272" t="s">
        <v>39</v>
      </c>
      <c r="AR272">
        <v>15.9</v>
      </c>
      <c r="AS272">
        <v>199</v>
      </c>
      <c r="AT272">
        <v>391</v>
      </c>
      <c r="AU272">
        <v>186</v>
      </c>
      <c r="AV272" t="s">
        <v>40</v>
      </c>
      <c r="AW272">
        <v>50</v>
      </c>
      <c r="AX272">
        <v>2</v>
      </c>
      <c r="AY272">
        <v>6.35</v>
      </c>
      <c r="AZ272">
        <v>31.7</v>
      </c>
      <c r="BA272">
        <v>460.4</v>
      </c>
      <c r="BB272">
        <v>205</v>
      </c>
      <c r="BC272">
        <v>4</v>
      </c>
      <c r="BD272">
        <v>30</v>
      </c>
      <c r="BE272">
        <v>1</v>
      </c>
      <c r="BF272">
        <v>70</v>
      </c>
      <c r="BG272">
        <v>4</v>
      </c>
      <c r="BH272">
        <v>30</v>
      </c>
      <c r="BI272">
        <v>1</v>
      </c>
      <c r="BJ272">
        <v>70</v>
      </c>
      <c r="BK272" s="30">
        <v>30</v>
      </c>
      <c r="BL272" s="30">
        <v>0</v>
      </c>
      <c r="BM272" t="s">
        <v>166</v>
      </c>
      <c r="BN272" t="s">
        <v>40</v>
      </c>
      <c r="BP272" s="30">
        <v>31.7</v>
      </c>
      <c r="BQ272">
        <v>4</v>
      </c>
      <c r="BR272">
        <v>8</v>
      </c>
      <c r="BS272">
        <v>460.4</v>
      </c>
      <c r="BT272">
        <v>205</v>
      </c>
    </row>
    <row r="273" spans="1:74" s="3" customFormat="1">
      <c r="A273">
        <v>268</v>
      </c>
      <c r="B273" s="1">
        <v>1</v>
      </c>
      <c r="G273" s="3" t="s">
        <v>160</v>
      </c>
      <c r="H273" s="4" t="s">
        <v>118</v>
      </c>
      <c r="I273" s="3">
        <v>28.5</v>
      </c>
      <c r="J273" s="3">
        <v>28.5</v>
      </c>
      <c r="K273" s="3">
        <f t="shared" si="126"/>
        <v>28.5</v>
      </c>
      <c r="L273" s="3">
        <v>2400</v>
      </c>
      <c r="M273" s="3">
        <v>1300</v>
      </c>
      <c r="N273" s="3">
        <v>0</v>
      </c>
      <c r="O273" s="3">
        <v>190</v>
      </c>
      <c r="P273" s="3">
        <v>200</v>
      </c>
      <c r="Q273" s="3">
        <v>300</v>
      </c>
      <c r="R273" s="3" t="s">
        <v>39</v>
      </c>
      <c r="S273" s="9"/>
      <c r="T273" s="3">
        <v>15.9</v>
      </c>
      <c r="U273" s="3">
        <v>199</v>
      </c>
      <c r="V273" s="4">
        <v>391</v>
      </c>
      <c r="W273" s="4">
        <v>186</v>
      </c>
      <c r="X273" s="3" t="s">
        <v>40</v>
      </c>
      <c r="Y273" s="3">
        <v>50</v>
      </c>
      <c r="Z273" s="3">
        <v>2</v>
      </c>
      <c r="AA273" s="3">
        <v>6.35</v>
      </c>
      <c r="AB273" s="3">
        <v>31.7</v>
      </c>
      <c r="AC273" s="3">
        <v>460.4</v>
      </c>
      <c r="AD273" s="3">
        <v>205</v>
      </c>
      <c r="AE273" s="3">
        <v>3</v>
      </c>
      <c r="AF273" s="3">
        <v>30</v>
      </c>
      <c r="AG273" s="3">
        <v>0</v>
      </c>
      <c r="AH273" s="3">
        <v>0</v>
      </c>
      <c r="AI273" s="3">
        <v>3</v>
      </c>
      <c r="AJ273" s="3">
        <v>30</v>
      </c>
      <c r="AK273" s="3">
        <v>0</v>
      </c>
      <c r="AL273" s="3">
        <v>0</v>
      </c>
      <c r="AM273" s="9">
        <v>30</v>
      </c>
      <c r="AN273" s="3">
        <v>250</v>
      </c>
      <c r="AO273" s="3">
        <v>250</v>
      </c>
      <c r="AP273" s="3" t="s">
        <v>39</v>
      </c>
      <c r="AQ273" s="9"/>
      <c r="AR273" s="3">
        <v>15.9</v>
      </c>
      <c r="AS273" s="3">
        <v>199</v>
      </c>
      <c r="AT273" s="3">
        <v>391</v>
      </c>
      <c r="AU273" s="3">
        <v>186</v>
      </c>
      <c r="AV273" s="3" t="s">
        <v>40</v>
      </c>
      <c r="AW273" s="3">
        <v>50</v>
      </c>
      <c r="AX273" s="3">
        <v>2</v>
      </c>
      <c r="AY273" s="3">
        <v>6.35</v>
      </c>
      <c r="AZ273" s="3">
        <v>31.7</v>
      </c>
      <c r="BA273" s="3">
        <v>460.4</v>
      </c>
      <c r="BB273" s="3">
        <v>205</v>
      </c>
      <c r="BC273" s="3">
        <v>4</v>
      </c>
      <c r="BD273" s="3">
        <v>30</v>
      </c>
      <c r="BE273" s="3">
        <v>1</v>
      </c>
      <c r="BF273" s="3">
        <v>70</v>
      </c>
      <c r="BG273" s="3">
        <v>4</v>
      </c>
      <c r="BH273" s="3">
        <v>30</v>
      </c>
      <c r="BI273" s="3">
        <v>1</v>
      </c>
      <c r="BJ273" s="3">
        <v>70</v>
      </c>
      <c r="BK273" s="9">
        <v>30</v>
      </c>
      <c r="BL273" s="9">
        <v>0</v>
      </c>
      <c r="BM273" s="3" t="s">
        <v>166</v>
      </c>
      <c r="BN273" s="3" t="s">
        <v>40</v>
      </c>
      <c r="BO273" s="9"/>
      <c r="BP273" s="9">
        <v>31.7</v>
      </c>
      <c r="BQ273" s="3">
        <v>4</v>
      </c>
      <c r="BR273" s="3">
        <v>8</v>
      </c>
      <c r="BS273" s="3">
        <v>460.4</v>
      </c>
      <c r="BT273" s="3">
        <v>205</v>
      </c>
      <c r="BU273" s="84"/>
    </row>
    <row r="274" spans="1:74">
      <c r="A274">
        <v>269</v>
      </c>
      <c r="B274" s="1">
        <v>3</v>
      </c>
      <c r="C274" s="2">
        <v>92</v>
      </c>
      <c r="D274" t="s">
        <v>119</v>
      </c>
      <c r="E274">
        <v>2006</v>
      </c>
      <c r="F274" t="s">
        <v>27</v>
      </c>
      <c r="G274" s="2" t="s">
        <v>736</v>
      </c>
      <c r="H274" s="7" t="s">
        <v>595</v>
      </c>
      <c r="I274" s="7">
        <v>14.3</v>
      </c>
      <c r="J274" s="7">
        <v>14.3</v>
      </c>
      <c r="K274" s="7">
        <f t="shared" si="126"/>
        <v>14.3</v>
      </c>
      <c r="L274" s="7">
        <v>1250</v>
      </c>
      <c r="M274" s="7">
        <v>650</v>
      </c>
      <c r="N274" s="7">
        <v>0</v>
      </c>
      <c r="O274" s="7">
        <v>0</v>
      </c>
      <c r="P274" s="7">
        <v>140</v>
      </c>
      <c r="Q274" s="7">
        <v>200</v>
      </c>
      <c r="R274" s="2"/>
      <c r="S274" s="2"/>
      <c r="T274" s="2"/>
      <c r="U274" s="2"/>
      <c r="V274" s="2"/>
      <c r="W274" s="2"/>
      <c r="X274" s="2" t="s">
        <v>766</v>
      </c>
      <c r="Y274" s="2">
        <v>60</v>
      </c>
      <c r="Z274" s="2">
        <v>2</v>
      </c>
      <c r="AA274" s="2">
        <v>6.35</v>
      </c>
      <c r="AB274" s="2">
        <v>31.7</v>
      </c>
      <c r="AC274" s="2"/>
      <c r="AD274" s="22">
        <v>205</v>
      </c>
      <c r="AE274" s="2"/>
      <c r="AF274" s="2"/>
      <c r="AG274" s="2"/>
      <c r="AH274" s="2"/>
      <c r="AI274" s="2"/>
      <c r="AJ274" s="2"/>
      <c r="AK274" s="2"/>
      <c r="AL274" s="2"/>
      <c r="AN274" s="7">
        <v>200</v>
      </c>
      <c r="AO274" s="7">
        <v>200</v>
      </c>
      <c r="AP274" s="7" t="s">
        <v>596</v>
      </c>
      <c r="AR274" s="7">
        <v>12.7</v>
      </c>
      <c r="AS274" s="7">
        <v>127</v>
      </c>
      <c r="AT274" s="7">
        <v>393</v>
      </c>
      <c r="AU274" s="7">
        <v>176</v>
      </c>
      <c r="AV274" s="2" t="s">
        <v>766</v>
      </c>
      <c r="AW274" s="2">
        <v>60</v>
      </c>
      <c r="AX274" s="2">
        <v>2</v>
      </c>
      <c r="AY274" s="2">
        <v>6.35</v>
      </c>
      <c r="AZ274" s="2">
        <v>31.7</v>
      </c>
      <c r="BA274" s="2"/>
      <c r="BB274" s="22">
        <v>205</v>
      </c>
      <c r="BC274" s="7">
        <v>4</v>
      </c>
      <c r="BE274" s="7">
        <v>0</v>
      </c>
      <c r="BG274" s="7">
        <v>4</v>
      </c>
      <c r="BI274" s="7">
        <v>0</v>
      </c>
      <c r="BL274" s="30">
        <v>2</v>
      </c>
      <c r="BM274" s="7" t="s">
        <v>802</v>
      </c>
      <c r="BN274" t="s">
        <v>767</v>
      </c>
      <c r="BQ274" s="2">
        <v>1</v>
      </c>
      <c r="BR274" s="2">
        <v>2</v>
      </c>
      <c r="BS274" s="2">
        <v>204</v>
      </c>
      <c r="BT274" s="22">
        <v>205</v>
      </c>
      <c r="BU274" s="77"/>
    </row>
    <row r="275" spans="1:74" s="5" customFormat="1">
      <c r="A275">
        <v>270</v>
      </c>
      <c r="B275" s="1">
        <v>1</v>
      </c>
      <c r="C275" s="5">
        <v>93</v>
      </c>
      <c r="D275" s="5" t="s">
        <v>120</v>
      </c>
      <c r="E275" s="5">
        <v>2006</v>
      </c>
      <c r="F275" s="5" t="s">
        <v>27</v>
      </c>
      <c r="G275" s="5" t="s">
        <v>158</v>
      </c>
      <c r="H275" s="6" t="s">
        <v>332</v>
      </c>
      <c r="I275" s="5">
        <v>86.3</v>
      </c>
      <c r="J275" s="5">
        <v>86.3</v>
      </c>
      <c r="K275" s="5">
        <f t="shared" si="126"/>
        <v>86.3</v>
      </c>
      <c r="L275" s="5">
        <v>3024</v>
      </c>
      <c r="M275" s="5">
        <v>1600</v>
      </c>
      <c r="N275" s="5">
        <v>0</v>
      </c>
      <c r="O275" s="5">
        <f>0.15*AN275*AO275*J275/1000</f>
        <v>2920.7156249999998</v>
      </c>
      <c r="P275" s="5">
        <v>340</v>
      </c>
      <c r="Q275" s="5">
        <v>425</v>
      </c>
      <c r="R275" s="5" t="s">
        <v>162</v>
      </c>
      <c r="S275" s="8" t="s">
        <v>333</v>
      </c>
      <c r="T275" s="5">
        <v>22.2</v>
      </c>
      <c r="U275" s="5">
        <v>387</v>
      </c>
      <c r="V275" s="6">
        <v>626</v>
      </c>
      <c r="W275" s="6">
        <v>197</v>
      </c>
      <c r="X275" s="5" t="s">
        <v>40</v>
      </c>
      <c r="Y275" s="5">
        <v>60</v>
      </c>
      <c r="Z275" s="5">
        <v>4</v>
      </c>
      <c r="AA275" s="5">
        <v>6.35</v>
      </c>
      <c r="AB275" s="5">
        <v>31.7</v>
      </c>
      <c r="AC275" s="5">
        <v>742</v>
      </c>
      <c r="AD275" s="5">
        <v>195</v>
      </c>
      <c r="AE275" s="5">
        <v>4</v>
      </c>
      <c r="AF275" s="5">
        <v>42.5</v>
      </c>
      <c r="AG275" s="5">
        <v>2</v>
      </c>
      <c r="AH275" s="5">
        <v>70</v>
      </c>
      <c r="AI275" s="5">
        <v>4</v>
      </c>
      <c r="AJ275" s="5">
        <v>42.5</v>
      </c>
      <c r="AK275" s="5">
        <v>2</v>
      </c>
      <c r="AL275" s="5">
        <v>70</v>
      </c>
      <c r="AM275" s="8">
        <v>42.5</v>
      </c>
      <c r="AN275" s="5">
        <v>475</v>
      </c>
      <c r="AO275" s="5">
        <v>475</v>
      </c>
      <c r="AP275" s="5" t="s">
        <v>162</v>
      </c>
      <c r="AQ275" s="8" t="s">
        <v>333</v>
      </c>
      <c r="AR275" s="5">
        <v>22.2</v>
      </c>
      <c r="AS275" s="5">
        <v>387</v>
      </c>
      <c r="AT275" s="5">
        <v>626</v>
      </c>
      <c r="AU275" s="5">
        <v>197</v>
      </c>
      <c r="AV275" s="5" t="s">
        <v>40</v>
      </c>
      <c r="AW275" s="5">
        <v>50</v>
      </c>
      <c r="AX275" s="5">
        <v>4</v>
      </c>
      <c r="AY275" s="5">
        <v>6.35</v>
      </c>
      <c r="AZ275" s="5">
        <v>31.7</v>
      </c>
      <c r="BA275" s="5">
        <v>742</v>
      </c>
      <c r="BB275" s="5">
        <v>195</v>
      </c>
      <c r="BC275" s="5">
        <v>4</v>
      </c>
      <c r="BD275" s="5">
        <v>34</v>
      </c>
      <c r="BE275" s="5">
        <v>4</v>
      </c>
      <c r="BF275" s="5">
        <v>120</v>
      </c>
      <c r="BG275" s="5">
        <v>4</v>
      </c>
      <c r="BH275" s="5">
        <v>34</v>
      </c>
      <c r="BI275" s="5">
        <v>4</v>
      </c>
      <c r="BJ275" s="5">
        <v>120</v>
      </c>
      <c r="BK275" s="8">
        <v>34</v>
      </c>
      <c r="BL275" s="8">
        <v>0</v>
      </c>
      <c r="BM275" s="5" t="s">
        <v>166</v>
      </c>
      <c r="BN275" s="5" t="s">
        <v>40</v>
      </c>
      <c r="BO275" s="8"/>
      <c r="BP275" s="8">
        <v>31.7</v>
      </c>
      <c r="BQ275" s="5">
        <v>4</v>
      </c>
      <c r="BR275" s="5">
        <v>8</v>
      </c>
      <c r="BS275" s="5">
        <v>742</v>
      </c>
      <c r="BT275" s="5">
        <v>195</v>
      </c>
      <c r="BU275" s="83">
        <v>0.31</v>
      </c>
    </row>
    <row r="276" spans="1:74">
      <c r="A276">
        <v>271</v>
      </c>
      <c r="B276" s="1">
        <v>1</v>
      </c>
      <c r="C276">
        <v>94</v>
      </c>
      <c r="D276" t="s">
        <v>121</v>
      </c>
      <c r="E276">
        <v>2006</v>
      </c>
      <c r="F276" t="s">
        <v>27</v>
      </c>
      <c r="G276" t="s">
        <v>160</v>
      </c>
      <c r="H276" s="1" t="s">
        <v>334</v>
      </c>
      <c r="I276">
        <v>76</v>
      </c>
      <c r="J276">
        <v>76</v>
      </c>
      <c r="K276">
        <f t="shared" si="126"/>
        <v>76</v>
      </c>
      <c r="L276">
        <v>3800</v>
      </c>
      <c r="M276">
        <v>1600</v>
      </c>
      <c r="N276">
        <v>0</v>
      </c>
      <c r="O276">
        <f>0.15*AN276*AO276*J276/1000</f>
        <v>2850</v>
      </c>
      <c r="P276">
        <v>275</v>
      </c>
      <c r="Q276">
        <v>480</v>
      </c>
      <c r="R276" t="s">
        <v>162</v>
      </c>
      <c r="T276">
        <v>22.2</v>
      </c>
      <c r="U276">
        <v>387</v>
      </c>
      <c r="V276" s="1">
        <v>553.79999999999995</v>
      </c>
      <c r="W276" s="1">
        <v>205</v>
      </c>
      <c r="X276" t="s">
        <v>40</v>
      </c>
      <c r="Y276">
        <v>70</v>
      </c>
      <c r="Z276">
        <v>4</v>
      </c>
      <c r="AA276">
        <v>6.35</v>
      </c>
      <c r="AB276">
        <v>31.7</v>
      </c>
      <c r="AC276">
        <v>1025</v>
      </c>
      <c r="AD276">
        <v>205</v>
      </c>
      <c r="AE276">
        <v>4</v>
      </c>
      <c r="AF276">
        <v>34</v>
      </c>
      <c r="AG276">
        <v>3</v>
      </c>
      <c r="AH276">
        <v>86</v>
      </c>
      <c r="AI276">
        <v>4</v>
      </c>
      <c r="AJ276">
        <v>34</v>
      </c>
      <c r="AK276">
        <v>3</v>
      </c>
      <c r="AL276">
        <v>86</v>
      </c>
      <c r="AM276" s="30">
        <v>36</v>
      </c>
      <c r="AN276">
        <v>500</v>
      </c>
      <c r="AO276">
        <v>500</v>
      </c>
      <c r="AP276" t="s">
        <v>162</v>
      </c>
      <c r="AR276">
        <v>22.2</v>
      </c>
      <c r="AS276">
        <v>387</v>
      </c>
      <c r="AT276">
        <v>553.79999999999995</v>
      </c>
      <c r="AU276">
        <v>205</v>
      </c>
      <c r="AV276" t="s">
        <v>40</v>
      </c>
      <c r="AW276">
        <v>50</v>
      </c>
      <c r="AX276">
        <v>4</v>
      </c>
      <c r="AY276">
        <v>6.35</v>
      </c>
      <c r="AZ276">
        <v>31.7</v>
      </c>
      <c r="BA276">
        <v>1025</v>
      </c>
      <c r="BB276">
        <v>205</v>
      </c>
      <c r="BC276">
        <v>4</v>
      </c>
      <c r="BD276">
        <v>48</v>
      </c>
      <c r="BE276">
        <v>2</v>
      </c>
      <c r="BF276">
        <v>135</v>
      </c>
      <c r="BG276">
        <v>4</v>
      </c>
      <c r="BH276">
        <v>48</v>
      </c>
      <c r="BI276">
        <v>2</v>
      </c>
      <c r="BJ276">
        <v>135</v>
      </c>
      <c r="BK276" s="30">
        <v>48</v>
      </c>
      <c r="BL276" s="30">
        <v>0</v>
      </c>
      <c r="BM276" t="s">
        <v>379</v>
      </c>
      <c r="BN276" s="7" t="s">
        <v>40</v>
      </c>
      <c r="BP276" s="30">
        <v>31.7</v>
      </c>
      <c r="BQ276">
        <v>3</v>
      </c>
      <c r="BR276">
        <v>12</v>
      </c>
      <c r="BS276">
        <v>1025</v>
      </c>
      <c r="BT276">
        <v>205</v>
      </c>
    </row>
    <row r="277" spans="1:74">
      <c r="A277">
        <v>272</v>
      </c>
      <c r="B277" s="1">
        <v>1</v>
      </c>
      <c r="C277">
        <v>95</v>
      </c>
      <c r="D277" t="s">
        <v>122</v>
      </c>
      <c r="E277">
        <v>2006</v>
      </c>
      <c r="F277" t="s">
        <v>27</v>
      </c>
      <c r="G277" t="s">
        <v>158</v>
      </c>
      <c r="H277" s="1" t="s">
        <v>261</v>
      </c>
      <c r="I277">
        <v>70.7</v>
      </c>
      <c r="J277">
        <v>70.7</v>
      </c>
      <c r="K277">
        <f t="shared" si="126"/>
        <v>70.7</v>
      </c>
      <c r="L277">
        <v>2600</v>
      </c>
      <c r="M277">
        <v>1400</v>
      </c>
      <c r="N277">
        <v>0</v>
      </c>
      <c r="O277">
        <f>0.2*AN277*AO277*J277/1000</f>
        <v>2262.4</v>
      </c>
      <c r="P277">
        <v>280</v>
      </c>
      <c r="Q277">
        <v>380</v>
      </c>
      <c r="R277" t="s">
        <v>57</v>
      </c>
      <c r="S277" s="30" t="s">
        <v>256</v>
      </c>
      <c r="T277">
        <v>19.100000000000001</v>
      </c>
      <c r="U277">
        <v>287</v>
      </c>
      <c r="V277" s="1">
        <v>518</v>
      </c>
      <c r="W277" s="1">
        <v>190</v>
      </c>
      <c r="X277" t="s">
        <v>335</v>
      </c>
      <c r="Y277">
        <v>100</v>
      </c>
      <c r="Z277">
        <v>4</v>
      </c>
      <c r="AA277">
        <v>6</v>
      </c>
      <c r="AB277">
        <v>31.7</v>
      </c>
      <c r="AC277">
        <v>989</v>
      </c>
      <c r="AD277">
        <v>204</v>
      </c>
      <c r="AE277">
        <v>4</v>
      </c>
      <c r="AF277">
        <v>35</v>
      </c>
      <c r="AG277">
        <v>2</v>
      </c>
      <c r="AH277">
        <v>50</v>
      </c>
      <c r="AI277">
        <v>4</v>
      </c>
      <c r="AJ277">
        <v>35</v>
      </c>
      <c r="AK277">
        <v>2</v>
      </c>
      <c r="AL277">
        <v>50</v>
      </c>
      <c r="AM277" s="30">
        <v>35</v>
      </c>
      <c r="AN277">
        <v>400</v>
      </c>
      <c r="AO277">
        <v>400</v>
      </c>
      <c r="AP277" t="s">
        <v>57</v>
      </c>
      <c r="AQ277" s="30" t="s">
        <v>256</v>
      </c>
      <c r="AR277">
        <v>19.100000000000001</v>
      </c>
      <c r="AS277">
        <v>287</v>
      </c>
      <c r="AT277">
        <v>518</v>
      </c>
      <c r="AU277">
        <v>190</v>
      </c>
      <c r="AV277" t="s">
        <v>335</v>
      </c>
      <c r="AW277">
        <v>60</v>
      </c>
      <c r="AX277">
        <v>4</v>
      </c>
      <c r="AY277">
        <v>6</v>
      </c>
      <c r="AZ277">
        <v>32</v>
      </c>
      <c r="BA277">
        <v>989</v>
      </c>
      <c r="BB277">
        <v>204</v>
      </c>
      <c r="BC277">
        <v>4</v>
      </c>
      <c r="BD277">
        <v>45</v>
      </c>
      <c r="BE277">
        <v>2</v>
      </c>
      <c r="BF277">
        <v>90</v>
      </c>
      <c r="BG277">
        <v>4</v>
      </c>
      <c r="BH277">
        <v>45</v>
      </c>
      <c r="BI277">
        <v>2</v>
      </c>
      <c r="BJ277">
        <v>90</v>
      </c>
      <c r="BK277" s="30">
        <v>45</v>
      </c>
      <c r="BL277" s="30">
        <v>0</v>
      </c>
      <c r="BM277" t="s">
        <v>166</v>
      </c>
      <c r="BN277" s="7" t="s">
        <v>335</v>
      </c>
      <c r="BP277" s="30">
        <v>32</v>
      </c>
      <c r="BQ277">
        <v>5</v>
      </c>
      <c r="BR277">
        <v>10</v>
      </c>
      <c r="BS277">
        <v>989</v>
      </c>
      <c r="BT277">
        <v>204</v>
      </c>
      <c r="BU277" s="23">
        <v>0.31</v>
      </c>
    </row>
    <row r="278" spans="1:74">
      <c r="A278">
        <v>273</v>
      </c>
      <c r="B278" s="1">
        <v>1</v>
      </c>
      <c r="C278">
        <v>96</v>
      </c>
      <c r="D278" t="s">
        <v>123</v>
      </c>
      <c r="E278">
        <v>2007</v>
      </c>
      <c r="F278" t="s">
        <v>33</v>
      </c>
      <c r="G278" t="s">
        <v>160</v>
      </c>
      <c r="H278" s="1" t="s">
        <v>336</v>
      </c>
      <c r="I278">
        <v>28.3</v>
      </c>
      <c r="J278">
        <v>28.3</v>
      </c>
      <c r="K278">
        <v>28.3</v>
      </c>
      <c r="L278">
        <v>2700</v>
      </c>
      <c r="M278">
        <v>1470</v>
      </c>
      <c r="N278">
        <v>0</v>
      </c>
      <c r="O278">
        <f>0.085*28.3*300*300/1000</f>
        <v>216.49500000000003</v>
      </c>
      <c r="P278">
        <v>300</v>
      </c>
      <c r="Q278">
        <v>300</v>
      </c>
      <c r="R278" t="s">
        <v>62</v>
      </c>
      <c r="T278">
        <v>12.7</v>
      </c>
      <c r="U278">
        <v>127</v>
      </c>
      <c r="V278" s="1">
        <v>456</v>
      </c>
      <c r="W278" s="1">
        <v>205</v>
      </c>
      <c r="X278" t="s">
        <v>40</v>
      </c>
      <c r="Y278">
        <v>50</v>
      </c>
      <c r="Z278">
        <v>2</v>
      </c>
      <c r="AA278">
        <v>6.35</v>
      </c>
      <c r="AB278">
        <v>31.7</v>
      </c>
      <c r="AC278">
        <v>326</v>
      </c>
      <c r="AD278" s="16">
        <v>205</v>
      </c>
      <c r="AE278">
        <v>4</v>
      </c>
      <c r="AF278">
        <v>35</v>
      </c>
      <c r="AG278">
        <v>4</v>
      </c>
      <c r="AH278">
        <v>35</v>
      </c>
      <c r="AI278">
        <v>4</v>
      </c>
      <c r="AJ278">
        <v>35</v>
      </c>
      <c r="AK278">
        <v>4</v>
      </c>
      <c r="AL278">
        <v>35</v>
      </c>
      <c r="AN278">
        <v>300</v>
      </c>
      <c r="AO278">
        <v>300</v>
      </c>
      <c r="AP278" t="s">
        <v>62</v>
      </c>
      <c r="AR278">
        <v>12.7</v>
      </c>
      <c r="AS278">
        <v>127</v>
      </c>
      <c r="AT278">
        <v>327</v>
      </c>
      <c r="AU278">
        <v>205</v>
      </c>
      <c r="AV278" t="s">
        <v>40</v>
      </c>
      <c r="AW278">
        <v>50</v>
      </c>
      <c r="AX278">
        <v>2</v>
      </c>
      <c r="AY278">
        <v>6.35</v>
      </c>
      <c r="AZ278">
        <v>31.7</v>
      </c>
      <c r="BA278">
        <v>326</v>
      </c>
      <c r="BC278">
        <v>5</v>
      </c>
      <c r="BD278">
        <v>35</v>
      </c>
      <c r="BE278">
        <v>2</v>
      </c>
      <c r="BF278">
        <v>50</v>
      </c>
      <c r="BG278">
        <v>5</v>
      </c>
      <c r="BH278">
        <v>35</v>
      </c>
      <c r="BI278">
        <v>2</v>
      </c>
      <c r="BJ278">
        <v>50</v>
      </c>
      <c r="BL278" s="30">
        <v>2</v>
      </c>
      <c r="BM278" t="s">
        <v>166</v>
      </c>
      <c r="BN278" t="s">
        <v>40</v>
      </c>
      <c r="BP278" s="30">
        <v>31.7</v>
      </c>
      <c r="BQ278">
        <v>3</v>
      </c>
      <c r="BR278">
        <v>6</v>
      </c>
      <c r="BS278">
        <v>326</v>
      </c>
      <c r="BT278">
        <v>205</v>
      </c>
      <c r="BV278" t="s">
        <v>801</v>
      </c>
    </row>
    <row r="279" spans="1:74">
      <c r="A279">
        <v>274</v>
      </c>
      <c r="B279" s="1">
        <v>1</v>
      </c>
      <c r="C279">
        <v>97</v>
      </c>
      <c r="D279" t="s">
        <v>124</v>
      </c>
      <c r="E279">
        <v>2007</v>
      </c>
      <c r="F279" t="s">
        <v>27</v>
      </c>
      <c r="G279" t="s">
        <v>158</v>
      </c>
      <c r="H279" s="1" t="s">
        <v>337</v>
      </c>
      <c r="I279">
        <v>35.1</v>
      </c>
      <c r="J279">
        <v>78.3</v>
      </c>
      <c r="K279">
        <f t="shared" ref="K279:K288" si="127">J279</f>
        <v>78.3</v>
      </c>
      <c r="L279">
        <v>3000</v>
      </c>
      <c r="M279">
        <v>1500</v>
      </c>
      <c r="N279">
        <v>0</v>
      </c>
      <c r="O279">
        <v>1750</v>
      </c>
      <c r="P279">
        <v>285</v>
      </c>
      <c r="Q279">
        <v>500</v>
      </c>
      <c r="R279" t="s">
        <v>39</v>
      </c>
      <c r="S279" s="30" t="s">
        <v>251</v>
      </c>
      <c r="T279">
        <v>15.9</v>
      </c>
      <c r="U279">
        <v>199</v>
      </c>
      <c r="V279" s="1">
        <v>738.7</v>
      </c>
      <c r="W279" s="1">
        <v>205</v>
      </c>
      <c r="X279" t="s">
        <v>153</v>
      </c>
      <c r="Y279">
        <v>60</v>
      </c>
      <c r="Z279">
        <v>4</v>
      </c>
      <c r="AA279">
        <v>9.5299999999999994</v>
      </c>
      <c r="AB279">
        <v>71.3</v>
      </c>
      <c r="AC279">
        <v>888</v>
      </c>
      <c r="AD279">
        <v>205</v>
      </c>
      <c r="AE279">
        <v>4</v>
      </c>
      <c r="AF279">
        <v>50</v>
      </c>
      <c r="AG279">
        <v>4</v>
      </c>
      <c r="AH279">
        <v>60</v>
      </c>
      <c r="AI279">
        <v>4</v>
      </c>
      <c r="AJ279">
        <v>50</v>
      </c>
      <c r="AK279">
        <v>4</v>
      </c>
      <c r="AL279">
        <v>60</v>
      </c>
      <c r="AM279" s="30">
        <v>50</v>
      </c>
      <c r="AN279">
        <v>500</v>
      </c>
      <c r="AO279">
        <v>500</v>
      </c>
      <c r="AP279" t="s">
        <v>57</v>
      </c>
      <c r="AQ279" s="30" t="s">
        <v>251</v>
      </c>
      <c r="AR279">
        <v>19.100000000000001</v>
      </c>
      <c r="AS279">
        <v>287</v>
      </c>
      <c r="AT279">
        <v>532.6</v>
      </c>
      <c r="AU279">
        <v>205</v>
      </c>
      <c r="AV279" t="s">
        <v>153</v>
      </c>
      <c r="AW279">
        <v>70</v>
      </c>
      <c r="AX279">
        <v>4</v>
      </c>
      <c r="AY279">
        <v>9.5299999999999994</v>
      </c>
      <c r="AZ279">
        <v>71.3</v>
      </c>
      <c r="BA279">
        <v>888</v>
      </c>
      <c r="BB279">
        <v>205</v>
      </c>
      <c r="BC279">
        <v>4</v>
      </c>
      <c r="BD279">
        <v>55</v>
      </c>
      <c r="BE279">
        <v>2</v>
      </c>
      <c r="BF279">
        <v>135</v>
      </c>
      <c r="BG279">
        <v>4</v>
      </c>
      <c r="BH279">
        <v>55</v>
      </c>
      <c r="BI279">
        <v>2</v>
      </c>
      <c r="BJ279">
        <v>135</v>
      </c>
      <c r="BK279" s="30">
        <v>55</v>
      </c>
      <c r="BL279" s="30">
        <v>0</v>
      </c>
      <c r="BM279" t="s">
        <v>166</v>
      </c>
      <c r="BN279" t="s">
        <v>153</v>
      </c>
      <c r="BP279" s="30">
        <v>71.3</v>
      </c>
      <c r="BQ279">
        <v>5</v>
      </c>
      <c r="BR279">
        <v>10</v>
      </c>
      <c r="BS279">
        <v>888</v>
      </c>
      <c r="BT279">
        <v>205</v>
      </c>
    </row>
    <row r="280" spans="1:74">
      <c r="A280">
        <v>275</v>
      </c>
      <c r="B280" s="1">
        <v>1</v>
      </c>
      <c r="C280">
        <v>98</v>
      </c>
      <c r="D280" t="s">
        <v>125</v>
      </c>
      <c r="E280">
        <v>2007</v>
      </c>
      <c r="F280" t="s">
        <v>27</v>
      </c>
      <c r="G280" t="s">
        <v>84</v>
      </c>
      <c r="H280" s="1" t="s">
        <v>338</v>
      </c>
      <c r="I280">
        <v>20.100000000000001</v>
      </c>
      <c r="J280">
        <v>20.100000000000001</v>
      </c>
      <c r="K280">
        <f t="shared" si="127"/>
        <v>20.100000000000001</v>
      </c>
      <c r="L280">
        <v>1714</v>
      </c>
      <c r="M280">
        <v>820</v>
      </c>
      <c r="N280">
        <v>0</v>
      </c>
      <c r="O280">
        <f>0*AN280*AO280*J280/1000</f>
        <v>0</v>
      </c>
      <c r="P280">
        <v>116</v>
      </c>
      <c r="Q280">
        <v>200</v>
      </c>
      <c r="R280" t="s">
        <v>197</v>
      </c>
      <c r="S280" s="30" t="s">
        <v>268</v>
      </c>
      <c r="T280">
        <v>7.94</v>
      </c>
      <c r="U280">
        <v>50</v>
      </c>
      <c r="V280" s="1">
        <v>306</v>
      </c>
      <c r="W280" s="1">
        <v>167</v>
      </c>
      <c r="X280" t="s">
        <v>305</v>
      </c>
      <c r="Y280">
        <v>25</v>
      </c>
      <c r="Z280">
        <v>2</v>
      </c>
      <c r="AA280">
        <v>3.2</v>
      </c>
      <c r="AB280">
        <v>8</v>
      </c>
      <c r="AC280">
        <v>226</v>
      </c>
      <c r="AD280">
        <v>206</v>
      </c>
      <c r="AE280">
        <v>5</v>
      </c>
      <c r="AF280">
        <v>20</v>
      </c>
      <c r="AG280">
        <v>3</v>
      </c>
      <c r="AH280">
        <v>20</v>
      </c>
      <c r="AI280">
        <v>5</v>
      </c>
      <c r="AJ280">
        <v>20</v>
      </c>
      <c r="AK280">
        <v>3</v>
      </c>
      <c r="AL280">
        <v>20</v>
      </c>
      <c r="AM280" s="30">
        <v>20</v>
      </c>
      <c r="AN280">
        <v>200</v>
      </c>
      <c r="AO280">
        <v>200</v>
      </c>
      <c r="AP280" t="s">
        <v>153</v>
      </c>
      <c r="AQ280" s="30" t="s">
        <v>76</v>
      </c>
      <c r="AR280">
        <v>9.5299999999999994</v>
      </c>
      <c r="AS280">
        <v>71</v>
      </c>
      <c r="AT280">
        <v>361</v>
      </c>
      <c r="AU280">
        <v>179</v>
      </c>
      <c r="AV280" t="s">
        <v>305</v>
      </c>
      <c r="AW280">
        <v>20</v>
      </c>
      <c r="AX280">
        <v>2</v>
      </c>
      <c r="AY280">
        <v>3.2</v>
      </c>
      <c r="AZ280">
        <v>8</v>
      </c>
      <c r="BA280">
        <v>226</v>
      </c>
      <c r="BB280">
        <v>206</v>
      </c>
      <c r="BC280">
        <v>8</v>
      </c>
      <c r="BD280">
        <v>20</v>
      </c>
      <c r="BE280">
        <v>0</v>
      </c>
      <c r="BF280">
        <v>0</v>
      </c>
      <c r="BG280">
        <v>8</v>
      </c>
      <c r="BH280">
        <v>20</v>
      </c>
      <c r="BI280">
        <v>0</v>
      </c>
      <c r="BJ280">
        <v>0</v>
      </c>
      <c r="BK280" s="30">
        <v>20</v>
      </c>
      <c r="BL280" s="30">
        <v>0</v>
      </c>
      <c r="BM280">
        <v>0</v>
      </c>
      <c r="BN280" t="s">
        <v>305</v>
      </c>
      <c r="BP280" s="30">
        <v>8</v>
      </c>
      <c r="BQ280">
        <v>0</v>
      </c>
      <c r="BR280">
        <v>0</v>
      </c>
      <c r="BS280">
        <v>0</v>
      </c>
      <c r="BT280">
        <v>0</v>
      </c>
      <c r="BU280" s="23">
        <v>0</v>
      </c>
    </row>
    <row r="281" spans="1:74">
      <c r="A281">
        <v>276</v>
      </c>
      <c r="B281" s="1">
        <v>1</v>
      </c>
      <c r="C281">
        <v>99</v>
      </c>
      <c r="D281" t="s">
        <v>126</v>
      </c>
      <c r="E281">
        <v>2007</v>
      </c>
      <c r="F281" t="s">
        <v>27</v>
      </c>
      <c r="G281" s="1" t="s">
        <v>606</v>
      </c>
      <c r="H281" s="1" t="s">
        <v>339</v>
      </c>
      <c r="I281">
        <v>28.53</v>
      </c>
      <c r="J281">
        <v>28.53</v>
      </c>
      <c r="K281">
        <f t="shared" si="127"/>
        <v>28.53</v>
      </c>
      <c r="L281">
        <v>3600</v>
      </c>
      <c r="M281">
        <v>2000</v>
      </c>
      <c r="N281">
        <v>0</v>
      </c>
      <c r="O281">
        <v>1020</v>
      </c>
      <c r="P281">
        <v>270</v>
      </c>
      <c r="Q281">
        <v>450</v>
      </c>
      <c r="R281" t="s">
        <v>39</v>
      </c>
      <c r="U281">
        <v>199</v>
      </c>
      <c r="V281" s="1">
        <v>338.9</v>
      </c>
      <c r="W281" s="1">
        <v>205</v>
      </c>
      <c r="X281" t="s">
        <v>153</v>
      </c>
      <c r="Y281">
        <v>100</v>
      </c>
      <c r="Z281">
        <v>4</v>
      </c>
      <c r="AA281">
        <v>9.5299999999999994</v>
      </c>
      <c r="AB281">
        <v>71.3</v>
      </c>
      <c r="AC281">
        <v>364.4</v>
      </c>
      <c r="AD281">
        <v>205</v>
      </c>
      <c r="AE281">
        <v>5</v>
      </c>
      <c r="AF281">
        <v>40</v>
      </c>
      <c r="AG281">
        <v>5</v>
      </c>
      <c r="AH281">
        <v>60</v>
      </c>
      <c r="AI281">
        <v>5</v>
      </c>
      <c r="AJ281">
        <v>40</v>
      </c>
      <c r="AK281">
        <v>5</v>
      </c>
      <c r="AL281">
        <v>60</v>
      </c>
      <c r="AM281" s="30">
        <v>46</v>
      </c>
      <c r="AN281">
        <v>470</v>
      </c>
      <c r="AO281">
        <v>400</v>
      </c>
      <c r="AP281" t="s">
        <v>39</v>
      </c>
      <c r="AR281">
        <v>15.9</v>
      </c>
      <c r="AS281">
        <v>199</v>
      </c>
      <c r="AT281">
        <v>338.9</v>
      </c>
      <c r="AU281">
        <v>205</v>
      </c>
      <c r="AV281" t="s">
        <v>153</v>
      </c>
      <c r="AW281">
        <v>75</v>
      </c>
      <c r="AX281">
        <v>4</v>
      </c>
      <c r="AZ281">
        <v>71.3</v>
      </c>
      <c r="BA281">
        <v>364.4</v>
      </c>
      <c r="BB281">
        <v>205</v>
      </c>
      <c r="BC281">
        <v>8</v>
      </c>
      <c r="BD281">
        <v>40</v>
      </c>
      <c r="BE281">
        <v>2</v>
      </c>
      <c r="BF281">
        <v>106</v>
      </c>
      <c r="BG281">
        <v>8</v>
      </c>
      <c r="BH281">
        <v>40</v>
      </c>
      <c r="BI281">
        <v>2</v>
      </c>
      <c r="BJ281">
        <v>106</v>
      </c>
      <c r="BK281" s="30">
        <v>40</v>
      </c>
      <c r="BL281" s="30">
        <v>0</v>
      </c>
      <c r="BM281" t="s">
        <v>166</v>
      </c>
      <c r="BN281" t="s">
        <v>153</v>
      </c>
      <c r="BP281" s="30">
        <v>71.3</v>
      </c>
      <c r="BQ281">
        <v>6</v>
      </c>
      <c r="BR281">
        <v>12</v>
      </c>
      <c r="BS281">
        <v>364.4</v>
      </c>
      <c r="BT281">
        <v>205</v>
      </c>
      <c r="BU281" s="23">
        <v>0.59</v>
      </c>
    </row>
    <row r="282" spans="1:74">
      <c r="A282">
        <v>277</v>
      </c>
      <c r="B282" s="1">
        <v>1</v>
      </c>
      <c r="G282" s="1" t="s">
        <v>607</v>
      </c>
      <c r="H282" s="1" t="s">
        <v>340</v>
      </c>
      <c r="I282">
        <v>25.88</v>
      </c>
      <c r="J282">
        <v>25.88</v>
      </c>
      <c r="K282">
        <f t="shared" si="127"/>
        <v>25.88</v>
      </c>
      <c r="L282">
        <v>3600</v>
      </c>
      <c r="M282">
        <v>2000</v>
      </c>
      <c r="N282">
        <v>0</v>
      </c>
      <c r="O282">
        <v>1020</v>
      </c>
      <c r="P282">
        <v>270</v>
      </c>
      <c r="Q282">
        <v>450</v>
      </c>
      <c r="R282" t="s">
        <v>213</v>
      </c>
      <c r="T282">
        <v>25.4</v>
      </c>
      <c r="U282">
        <v>507</v>
      </c>
      <c r="V282" s="1">
        <v>374.2</v>
      </c>
      <c r="W282" s="1">
        <v>205</v>
      </c>
      <c r="X282" t="s">
        <v>153</v>
      </c>
      <c r="Y282">
        <v>100</v>
      </c>
      <c r="Z282">
        <v>4</v>
      </c>
      <c r="AA282">
        <v>9.5299999999999994</v>
      </c>
      <c r="AB282">
        <v>71.3</v>
      </c>
      <c r="AC282">
        <v>364.4</v>
      </c>
      <c r="AD282">
        <v>205</v>
      </c>
      <c r="AE282">
        <v>3</v>
      </c>
      <c r="AF282">
        <v>45</v>
      </c>
      <c r="AG282">
        <v>2</v>
      </c>
      <c r="AH282">
        <v>60</v>
      </c>
      <c r="AI282">
        <v>3</v>
      </c>
      <c r="AJ282">
        <v>45</v>
      </c>
      <c r="AK282">
        <v>2</v>
      </c>
      <c r="AL282">
        <v>60</v>
      </c>
      <c r="AM282" s="30">
        <v>46</v>
      </c>
      <c r="AN282">
        <v>470</v>
      </c>
      <c r="AO282">
        <v>400</v>
      </c>
      <c r="AP282" t="s">
        <v>213</v>
      </c>
      <c r="AR282">
        <v>25.4</v>
      </c>
      <c r="AS282">
        <v>507</v>
      </c>
      <c r="AT282">
        <v>374.2</v>
      </c>
      <c r="AU282">
        <v>205</v>
      </c>
      <c r="AV282" t="s">
        <v>153</v>
      </c>
      <c r="AW282">
        <v>75</v>
      </c>
      <c r="AX282">
        <v>4</v>
      </c>
      <c r="AY282">
        <v>9.5299999999999994</v>
      </c>
      <c r="AZ282">
        <v>71.3</v>
      </c>
      <c r="BA282">
        <v>364.4</v>
      </c>
      <c r="BB282">
        <v>205</v>
      </c>
      <c r="BC282">
        <v>4</v>
      </c>
      <c r="BD282">
        <v>45</v>
      </c>
      <c r="BE282">
        <v>2</v>
      </c>
      <c r="BF282">
        <v>103</v>
      </c>
      <c r="BG282">
        <v>4</v>
      </c>
      <c r="BH282">
        <v>45</v>
      </c>
      <c r="BI282">
        <v>2</v>
      </c>
      <c r="BJ282">
        <v>103</v>
      </c>
      <c r="BK282" s="30">
        <v>46</v>
      </c>
      <c r="BL282" s="30">
        <v>0</v>
      </c>
      <c r="BM282" t="s">
        <v>166</v>
      </c>
      <c r="BN282" t="s">
        <v>153</v>
      </c>
      <c r="BP282" s="30">
        <v>71.3</v>
      </c>
      <c r="BQ282">
        <v>6</v>
      </c>
      <c r="BR282">
        <v>12</v>
      </c>
      <c r="BS282">
        <v>364.4</v>
      </c>
      <c r="BT282">
        <v>205</v>
      </c>
      <c r="BU282" s="23">
        <v>0.57999999999999996</v>
      </c>
    </row>
    <row r="283" spans="1:74">
      <c r="A283">
        <v>278</v>
      </c>
      <c r="B283" s="1">
        <v>1</v>
      </c>
      <c r="C283">
        <v>100</v>
      </c>
      <c r="D283" t="s">
        <v>127</v>
      </c>
      <c r="E283">
        <v>2007</v>
      </c>
      <c r="F283" t="s">
        <v>27</v>
      </c>
      <c r="G283" t="s">
        <v>160</v>
      </c>
      <c r="H283" s="1" t="s">
        <v>341</v>
      </c>
      <c r="I283">
        <v>30.4</v>
      </c>
      <c r="J283">
        <v>30.4</v>
      </c>
      <c r="K283">
        <f t="shared" si="127"/>
        <v>30.4</v>
      </c>
      <c r="L283">
        <v>2700</v>
      </c>
      <c r="M283">
        <v>1470</v>
      </c>
      <c r="N283">
        <v>0</v>
      </c>
      <c r="O283">
        <f>0.08*AN283*AO283*J283/1000</f>
        <v>218.88</v>
      </c>
      <c r="P283">
        <v>300</v>
      </c>
      <c r="Q283">
        <v>300</v>
      </c>
      <c r="R283" t="s">
        <v>39</v>
      </c>
      <c r="S283" s="30" t="s">
        <v>76</v>
      </c>
      <c r="T283">
        <v>15.9</v>
      </c>
      <c r="U283">
        <v>199</v>
      </c>
      <c r="V283" s="1">
        <v>379</v>
      </c>
      <c r="W283" s="1">
        <v>187</v>
      </c>
      <c r="X283" t="s">
        <v>40</v>
      </c>
      <c r="Y283">
        <v>50</v>
      </c>
      <c r="Z283">
        <v>2</v>
      </c>
      <c r="AA283">
        <v>6.35</v>
      </c>
      <c r="AB283">
        <v>31.7</v>
      </c>
      <c r="AC283">
        <v>366</v>
      </c>
      <c r="AD283">
        <v>191</v>
      </c>
      <c r="AE283">
        <v>4</v>
      </c>
      <c r="AF283">
        <v>35</v>
      </c>
      <c r="AG283">
        <v>2</v>
      </c>
      <c r="AH283">
        <v>40</v>
      </c>
      <c r="AI283">
        <v>4</v>
      </c>
      <c r="AJ283">
        <v>35</v>
      </c>
      <c r="AK283">
        <v>2</v>
      </c>
      <c r="AL283">
        <v>40</v>
      </c>
      <c r="AM283" s="30">
        <v>52</v>
      </c>
      <c r="AN283">
        <v>300</v>
      </c>
      <c r="AO283">
        <v>300</v>
      </c>
      <c r="AP283" t="s">
        <v>39</v>
      </c>
      <c r="AQ283" s="30" t="s">
        <v>76</v>
      </c>
      <c r="AR283">
        <v>15.9</v>
      </c>
      <c r="AS283">
        <v>199</v>
      </c>
      <c r="AT283">
        <v>379</v>
      </c>
      <c r="AU283">
        <v>187</v>
      </c>
      <c r="AV283" t="s">
        <v>40</v>
      </c>
      <c r="AW283">
        <v>50</v>
      </c>
      <c r="AX283">
        <v>2</v>
      </c>
      <c r="AY283">
        <v>6.35</v>
      </c>
      <c r="AZ283">
        <v>31.6</v>
      </c>
      <c r="BA283">
        <v>366</v>
      </c>
      <c r="BB283">
        <v>191</v>
      </c>
      <c r="BC283">
        <v>5</v>
      </c>
      <c r="BD283">
        <v>35</v>
      </c>
      <c r="BE283">
        <v>2</v>
      </c>
      <c r="BF283">
        <v>75</v>
      </c>
      <c r="BG283">
        <v>5</v>
      </c>
      <c r="BH283">
        <v>35</v>
      </c>
      <c r="BI283">
        <v>2</v>
      </c>
      <c r="BJ283">
        <v>75</v>
      </c>
      <c r="BK283" s="30">
        <v>35</v>
      </c>
      <c r="BL283" s="30">
        <v>0</v>
      </c>
      <c r="BM283" t="s">
        <v>166</v>
      </c>
      <c r="BN283" t="s">
        <v>40</v>
      </c>
      <c r="BP283" s="30">
        <v>31.6</v>
      </c>
      <c r="BQ283">
        <v>3</v>
      </c>
      <c r="BR283">
        <v>6</v>
      </c>
      <c r="BS283">
        <v>366</v>
      </c>
      <c r="BT283">
        <v>191</v>
      </c>
      <c r="BU283" s="23">
        <v>0.31</v>
      </c>
    </row>
    <row r="284" spans="1:74">
      <c r="A284">
        <v>279</v>
      </c>
      <c r="B284" s="1">
        <v>1</v>
      </c>
      <c r="C284">
        <v>101</v>
      </c>
      <c r="D284" t="s">
        <v>128</v>
      </c>
      <c r="E284">
        <v>2007</v>
      </c>
      <c r="F284" t="s">
        <v>27</v>
      </c>
      <c r="G284" t="s">
        <v>160</v>
      </c>
      <c r="H284" s="1" t="s">
        <v>342</v>
      </c>
      <c r="I284">
        <v>18.100000000000001</v>
      </c>
      <c r="J284">
        <v>18.100000000000001</v>
      </c>
      <c r="K284">
        <f t="shared" si="127"/>
        <v>18.100000000000001</v>
      </c>
      <c r="L284">
        <v>1714</v>
      </c>
      <c r="M284">
        <v>820</v>
      </c>
      <c r="N284">
        <v>0</v>
      </c>
      <c r="O284">
        <f>0*AN284*AO284*J284/1000</f>
        <v>0</v>
      </c>
      <c r="P284">
        <v>116</v>
      </c>
      <c r="Q284">
        <v>200</v>
      </c>
      <c r="R284" t="s">
        <v>62</v>
      </c>
      <c r="S284" s="30" t="s">
        <v>76</v>
      </c>
      <c r="T284">
        <v>12.7</v>
      </c>
      <c r="U284">
        <v>127</v>
      </c>
      <c r="V284" s="1">
        <v>398</v>
      </c>
      <c r="W284" s="1">
        <v>179</v>
      </c>
      <c r="X284" t="s">
        <v>305</v>
      </c>
      <c r="Y284">
        <v>25</v>
      </c>
      <c r="Z284">
        <v>2</v>
      </c>
      <c r="AA284">
        <v>3.2</v>
      </c>
      <c r="AB284">
        <v>8</v>
      </c>
      <c r="AC284">
        <v>226</v>
      </c>
      <c r="AD284">
        <v>206</v>
      </c>
      <c r="AE284">
        <v>3</v>
      </c>
      <c r="AF284">
        <v>25</v>
      </c>
      <c r="AG284">
        <v>0</v>
      </c>
      <c r="AH284">
        <v>0</v>
      </c>
      <c r="AI284">
        <v>3</v>
      </c>
      <c r="AJ284">
        <v>25</v>
      </c>
      <c r="AK284">
        <v>0</v>
      </c>
      <c r="AL284">
        <v>0</v>
      </c>
      <c r="AM284" s="30">
        <v>20</v>
      </c>
      <c r="AN284">
        <v>200</v>
      </c>
      <c r="AO284">
        <v>200</v>
      </c>
      <c r="AP284" t="s">
        <v>62</v>
      </c>
      <c r="AQ284" s="30" t="s">
        <v>76</v>
      </c>
      <c r="AR284">
        <v>12.7</v>
      </c>
      <c r="AS284">
        <v>127</v>
      </c>
      <c r="AT284">
        <v>398</v>
      </c>
      <c r="AU284">
        <v>179</v>
      </c>
      <c r="AV284" t="s">
        <v>305</v>
      </c>
      <c r="AW284">
        <v>20</v>
      </c>
      <c r="AX284">
        <v>2</v>
      </c>
      <c r="AY284">
        <v>3.2</v>
      </c>
      <c r="AZ284">
        <v>8</v>
      </c>
      <c r="BA284">
        <v>226</v>
      </c>
      <c r="BB284">
        <v>206</v>
      </c>
      <c r="BC284">
        <v>4</v>
      </c>
      <c r="BD284">
        <v>25</v>
      </c>
      <c r="BE284">
        <v>0</v>
      </c>
      <c r="BF284">
        <v>0</v>
      </c>
      <c r="BG284">
        <v>4</v>
      </c>
      <c r="BH284">
        <v>25</v>
      </c>
      <c r="BI284">
        <v>0</v>
      </c>
      <c r="BJ284">
        <v>0</v>
      </c>
      <c r="BK284" s="30">
        <v>20</v>
      </c>
      <c r="BL284" s="30">
        <v>0</v>
      </c>
      <c r="BM284">
        <v>0</v>
      </c>
      <c r="BQ284">
        <v>0</v>
      </c>
      <c r="BR284">
        <v>0</v>
      </c>
      <c r="BS284">
        <v>0</v>
      </c>
      <c r="BT284">
        <v>0</v>
      </c>
      <c r="BU284" s="23">
        <v>0</v>
      </c>
    </row>
    <row r="285" spans="1:74">
      <c r="A285">
        <v>280</v>
      </c>
      <c r="B285" s="1">
        <v>1</v>
      </c>
      <c r="C285">
        <v>102</v>
      </c>
      <c r="D285" t="s">
        <v>129</v>
      </c>
      <c r="E285">
        <v>2007</v>
      </c>
      <c r="F285" t="s">
        <v>27</v>
      </c>
      <c r="G285" t="s">
        <v>160</v>
      </c>
      <c r="H285" s="1" t="s">
        <v>343</v>
      </c>
      <c r="I285">
        <v>83.8</v>
      </c>
      <c r="J285">
        <v>83.8</v>
      </c>
      <c r="K285">
        <f t="shared" si="127"/>
        <v>83.8</v>
      </c>
      <c r="L285">
        <v>2600</v>
      </c>
      <c r="M285">
        <v>1790</v>
      </c>
      <c r="N285">
        <v>0</v>
      </c>
      <c r="O285">
        <f>0.2*AN285*AO285*60/1000</f>
        <v>1920</v>
      </c>
      <c r="P285">
        <v>300</v>
      </c>
      <c r="Q285">
        <v>400</v>
      </c>
      <c r="R285" t="s">
        <v>57</v>
      </c>
      <c r="S285" s="30" t="s">
        <v>256</v>
      </c>
      <c r="T285">
        <v>19.100000000000001</v>
      </c>
      <c r="U285">
        <v>287</v>
      </c>
      <c r="V285" s="1">
        <v>516</v>
      </c>
      <c r="W285" s="1">
        <v>193</v>
      </c>
      <c r="X285" t="s">
        <v>287</v>
      </c>
      <c r="Y285">
        <v>75</v>
      </c>
      <c r="Z285">
        <v>3</v>
      </c>
      <c r="AA285">
        <v>6.35</v>
      </c>
      <c r="AB285">
        <v>32</v>
      </c>
      <c r="AC285">
        <v>778</v>
      </c>
      <c r="AD285">
        <v>190</v>
      </c>
      <c r="AE285">
        <v>4</v>
      </c>
      <c r="AF285">
        <v>42</v>
      </c>
      <c r="AG285">
        <v>4</v>
      </c>
      <c r="AH285">
        <v>50</v>
      </c>
      <c r="AI285">
        <v>4</v>
      </c>
      <c r="AJ285">
        <v>42</v>
      </c>
      <c r="AK285">
        <v>4</v>
      </c>
      <c r="AL285">
        <v>50</v>
      </c>
      <c r="AM285" s="30">
        <v>42</v>
      </c>
      <c r="AN285">
        <v>400</v>
      </c>
      <c r="AO285">
        <v>400</v>
      </c>
      <c r="AP285" t="s">
        <v>57</v>
      </c>
      <c r="AQ285" s="30" t="s">
        <v>256</v>
      </c>
      <c r="AR285">
        <v>19.100000000000001</v>
      </c>
      <c r="AS285">
        <v>287</v>
      </c>
      <c r="AT285">
        <v>516</v>
      </c>
      <c r="AU285">
        <v>193</v>
      </c>
      <c r="AV285" t="s">
        <v>287</v>
      </c>
      <c r="AW285">
        <v>75</v>
      </c>
      <c r="AX285">
        <v>4</v>
      </c>
      <c r="AY285">
        <v>6.35</v>
      </c>
      <c r="AZ285">
        <v>32</v>
      </c>
      <c r="BA285">
        <v>778</v>
      </c>
      <c r="BB285">
        <v>190</v>
      </c>
      <c r="BC285">
        <v>4</v>
      </c>
      <c r="BD285">
        <v>49</v>
      </c>
      <c r="BE285">
        <v>2</v>
      </c>
      <c r="BF285">
        <v>77</v>
      </c>
      <c r="BG285">
        <v>4</v>
      </c>
      <c r="BH285">
        <v>49</v>
      </c>
      <c r="BI285">
        <v>2</v>
      </c>
      <c r="BJ285">
        <v>77</v>
      </c>
      <c r="BK285" s="30">
        <v>49</v>
      </c>
      <c r="BL285" s="30">
        <v>0</v>
      </c>
      <c r="BM285" t="s">
        <v>166</v>
      </c>
      <c r="BN285" t="s">
        <v>287</v>
      </c>
      <c r="BP285" s="30">
        <v>32</v>
      </c>
      <c r="BQ285">
        <v>5</v>
      </c>
      <c r="BR285">
        <v>10</v>
      </c>
      <c r="BS285">
        <v>778</v>
      </c>
      <c r="BT285">
        <v>190</v>
      </c>
    </row>
    <row r="286" spans="1:74">
      <c r="A286">
        <v>281</v>
      </c>
      <c r="B286" s="1">
        <v>1</v>
      </c>
      <c r="G286" t="s">
        <v>160</v>
      </c>
      <c r="H286" s="1" t="s">
        <v>344</v>
      </c>
      <c r="I286">
        <v>83.8</v>
      </c>
      <c r="J286">
        <v>83.8</v>
      </c>
      <c r="K286">
        <f t="shared" si="127"/>
        <v>83.8</v>
      </c>
      <c r="L286">
        <v>2600</v>
      </c>
      <c r="M286">
        <v>1790</v>
      </c>
      <c r="N286">
        <v>0</v>
      </c>
      <c r="O286">
        <f>0.2*AN286*AO286*60/1000</f>
        <v>1920</v>
      </c>
      <c r="P286">
        <v>300</v>
      </c>
      <c r="Q286">
        <v>400</v>
      </c>
      <c r="R286" t="s">
        <v>57</v>
      </c>
      <c r="S286" s="30" t="s">
        <v>256</v>
      </c>
      <c r="T286">
        <v>19.100000000000001</v>
      </c>
      <c r="U286">
        <v>287</v>
      </c>
      <c r="V286" s="1">
        <v>516</v>
      </c>
      <c r="W286" s="1">
        <v>193</v>
      </c>
      <c r="X286" t="s">
        <v>287</v>
      </c>
      <c r="Y286">
        <v>75</v>
      </c>
      <c r="Z286">
        <v>3</v>
      </c>
      <c r="AA286">
        <v>6.35</v>
      </c>
      <c r="AB286">
        <v>32</v>
      </c>
      <c r="AC286">
        <v>778</v>
      </c>
      <c r="AD286">
        <v>190</v>
      </c>
      <c r="AE286">
        <v>4</v>
      </c>
      <c r="AF286">
        <v>42</v>
      </c>
      <c r="AG286">
        <v>2</v>
      </c>
      <c r="AH286">
        <v>50</v>
      </c>
      <c r="AI286">
        <v>4</v>
      </c>
      <c r="AJ286">
        <v>42</v>
      </c>
      <c r="AK286">
        <v>2</v>
      </c>
      <c r="AL286">
        <v>50</v>
      </c>
      <c r="AM286" s="30">
        <v>42</v>
      </c>
      <c r="AN286">
        <v>400</v>
      </c>
      <c r="AO286">
        <v>400</v>
      </c>
      <c r="AP286" t="s">
        <v>57</v>
      </c>
      <c r="AQ286" s="30" t="s">
        <v>256</v>
      </c>
      <c r="AR286">
        <v>19.100000000000001</v>
      </c>
      <c r="AS286">
        <v>287</v>
      </c>
      <c r="AT286">
        <v>516</v>
      </c>
      <c r="AU286">
        <v>193</v>
      </c>
      <c r="AV286" t="s">
        <v>287</v>
      </c>
      <c r="AW286">
        <v>75</v>
      </c>
      <c r="AX286">
        <v>4</v>
      </c>
      <c r="AY286">
        <v>6.35</v>
      </c>
      <c r="AZ286">
        <v>32</v>
      </c>
      <c r="BA286">
        <v>778</v>
      </c>
      <c r="BB286">
        <v>190</v>
      </c>
      <c r="BC286">
        <v>4</v>
      </c>
      <c r="BD286">
        <v>49</v>
      </c>
      <c r="BE286">
        <v>2</v>
      </c>
      <c r="BF286">
        <v>77</v>
      </c>
      <c r="BG286">
        <v>4</v>
      </c>
      <c r="BH286">
        <v>49</v>
      </c>
      <c r="BI286">
        <v>2</v>
      </c>
      <c r="BJ286">
        <v>77</v>
      </c>
      <c r="BK286" s="30">
        <v>49</v>
      </c>
      <c r="BL286" s="30">
        <v>0</v>
      </c>
      <c r="BM286" t="s">
        <v>166</v>
      </c>
      <c r="BN286" t="s">
        <v>287</v>
      </c>
      <c r="BP286" s="30">
        <v>32</v>
      </c>
      <c r="BQ286">
        <v>5</v>
      </c>
      <c r="BR286">
        <v>10</v>
      </c>
      <c r="BS286">
        <v>778</v>
      </c>
      <c r="BT286">
        <v>190</v>
      </c>
    </row>
    <row r="287" spans="1:74">
      <c r="A287">
        <v>282</v>
      </c>
      <c r="B287" s="1">
        <v>1</v>
      </c>
      <c r="C287">
        <v>103</v>
      </c>
      <c r="D287" t="s">
        <v>130</v>
      </c>
      <c r="E287">
        <v>2008</v>
      </c>
      <c r="F287" t="s">
        <v>33</v>
      </c>
      <c r="G287" t="s">
        <v>158</v>
      </c>
      <c r="H287" s="1" t="s">
        <v>345</v>
      </c>
      <c r="I287">
        <v>40.4</v>
      </c>
      <c r="J287">
        <v>74.5</v>
      </c>
      <c r="K287">
        <f t="shared" si="127"/>
        <v>74.5</v>
      </c>
      <c r="L287">
        <v>2800</v>
      </c>
      <c r="M287">
        <v>1500</v>
      </c>
      <c r="N287">
        <v>0</v>
      </c>
      <c r="O287">
        <v>1920</v>
      </c>
      <c r="P287">
        <v>240</v>
      </c>
      <c r="Q287">
        <v>360</v>
      </c>
      <c r="R287" t="s">
        <v>39</v>
      </c>
      <c r="S287" s="30" t="s">
        <v>256</v>
      </c>
      <c r="T287">
        <v>15.9</v>
      </c>
      <c r="U287">
        <v>199</v>
      </c>
      <c r="V287" s="1">
        <v>563</v>
      </c>
      <c r="W287" s="1">
        <v>199</v>
      </c>
      <c r="X287" t="s">
        <v>40</v>
      </c>
      <c r="Y287">
        <v>100</v>
      </c>
      <c r="Z287">
        <v>4</v>
      </c>
      <c r="AA287">
        <v>6.35</v>
      </c>
      <c r="AB287">
        <v>31.7</v>
      </c>
      <c r="AC287">
        <v>889</v>
      </c>
      <c r="AD287">
        <v>158</v>
      </c>
      <c r="AE287">
        <v>4</v>
      </c>
      <c r="AF287">
        <v>42</v>
      </c>
      <c r="AG287">
        <v>4</v>
      </c>
      <c r="AH287">
        <v>42</v>
      </c>
      <c r="AI287">
        <v>4</v>
      </c>
      <c r="AJ287">
        <v>42</v>
      </c>
      <c r="AK287">
        <v>4</v>
      </c>
      <c r="AL287">
        <v>42</v>
      </c>
      <c r="AN287">
        <v>400</v>
      </c>
      <c r="AO287">
        <v>400</v>
      </c>
      <c r="AP287" t="s">
        <v>39</v>
      </c>
      <c r="AQ287" s="30" t="s">
        <v>256</v>
      </c>
      <c r="AR287">
        <v>15.9</v>
      </c>
      <c r="AS287">
        <v>199</v>
      </c>
      <c r="AT287">
        <v>563</v>
      </c>
      <c r="AU287">
        <v>199</v>
      </c>
      <c r="AV287" t="s">
        <v>153</v>
      </c>
      <c r="AW287">
        <v>100</v>
      </c>
      <c r="AX287">
        <v>4</v>
      </c>
      <c r="AY287">
        <v>9.5299999999999994</v>
      </c>
      <c r="AZ287">
        <v>71.3</v>
      </c>
      <c r="BA287">
        <v>993</v>
      </c>
      <c r="BB287">
        <v>183</v>
      </c>
      <c r="BC287">
        <v>4</v>
      </c>
      <c r="BD287">
        <v>44</v>
      </c>
      <c r="BE287">
        <v>2</v>
      </c>
      <c r="BF287">
        <v>44</v>
      </c>
      <c r="BG287">
        <v>4</v>
      </c>
      <c r="BH287">
        <v>44</v>
      </c>
      <c r="BI287">
        <v>2</v>
      </c>
      <c r="BJ287">
        <v>44</v>
      </c>
      <c r="BL287" s="30">
        <v>0</v>
      </c>
      <c r="BM287" t="s">
        <v>166</v>
      </c>
      <c r="BN287" t="s">
        <v>153</v>
      </c>
      <c r="BP287" s="30">
        <v>71.3</v>
      </c>
      <c r="BQ287">
        <v>3</v>
      </c>
      <c r="BR287">
        <v>6</v>
      </c>
      <c r="BS287">
        <v>993</v>
      </c>
      <c r="BT287">
        <v>183</v>
      </c>
      <c r="BV287" s="23" t="s">
        <v>801</v>
      </c>
    </row>
    <row r="288" spans="1:74">
      <c r="A288">
        <v>283</v>
      </c>
      <c r="B288" s="1">
        <v>1</v>
      </c>
      <c r="G288" t="s">
        <v>158</v>
      </c>
      <c r="H288" s="1" t="s">
        <v>346</v>
      </c>
      <c r="I288">
        <v>40.4</v>
      </c>
      <c r="J288">
        <v>74.599999999999994</v>
      </c>
      <c r="K288">
        <f t="shared" si="127"/>
        <v>74.599999999999994</v>
      </c>
      <c r="L288">
        <v>2800</v>
      </c>
      <c r="M288">
        <v>1500</v>
      </c>
      <c r="N288">
        <v>0</v>
      </c>
      <c r="O288">
        <v>1920</v>
      </c>
      <c r="P288">
        <v>240</v>
      </c>
      <c r="Q288">
        <v>360</v>
      </c>
      <c r="R288" t="s">
        <v>39</v>
      </c>
      <c r="S288" s="30" t="s">
        <v>256</v>
      </c>
      <c r="T288">
        <v>15.9</v>
      </c>
      <c r="U288">
        <v>199</v>
      </c>
      <c r="V288" s="1">
        <v>563</v>
      </c>
      <c r="W288" s="1">
        <v>199</v>
      </c>
      <c r="X288" t="s">
        <v>40</v>
      </c>
      <c r="Y288">
        <v>100</v>
      </c>
      <c r="Z288">
        <v>4</v>
      </c>
      <c r="AA288">
        <v>6.35</v>
      </c>
      <c r="AB288">
        <v>31.7</v>
      </c>
      <c r="AC288">
        <v>889</v>
      </c>
      <c r="AD288">
        <v>158</v>
      </c>
      <c r="AE288">
        <v>4</v>
      </c>
      <c r="AF288">
        <v>42</v>
      </c>
      <c r="AG288">
        <v>4</v>
      </c>
      <c r="AH288">
        <v>42</v>
      </c>
      <c r="AI288">
        <v>4</v>
      </c>
      <c r="AJ288">
        <v>42</v>
      </c>
      <c r="AK288">
        <v>4</v>
      </c>
      <c r="AL288">
        <v>42</v>
      </c>
      <c r="AN288">
        <v>400</v>
      </c>
      <c r="AO288">
        <v>400</v>
      </c>
      <c r="AP288" t="s">
        <v>39</v>
      </c>
      <c r="AQ288" s="30" t="s">
        <v>256</v>
      </c>
      <c r="AR288">
        <v>15.9</v>
      </c>
      <c r="AS288">
        <v>199</v>
      </c>
      <c r="AT288">
        <v>563</v>
      </c>
      <c r="AU288">
        <v>199</v>
      </c>
      <c r="AV288" t="s">
        <v>153</v>
      </c>
      <c r="AW288">
        <v>100</v>
      </c>
      <c r="AX288">
        <v>4</v>
      </c>
      <c r="AY288">
        <v>9.5299999999999994</v>
      </c>
      <c r="AZ288">
        <v>71.3</v>
      </c>
      <c r="BA288">
        <v>993</v>
      </c>
      <c r="BB288">
        <v>183</v>
      </c>
      <c r="BC288">
        <v>4</v>
      </c>
      <c r="BD288">
        <v>44</v>
      </c>
      <c r="BE288">
        <v>2</v>
      </c>
      <c r="BF288">
        <v>44</v>
      </c>
      <c r="BG288">
        <v>4</v>
      </c>
      <c r="BH288">
        <v>44</v>
      </c>
      <c r="BI288">
        <v>2</v>
      </c>
      <c r="BJ288">
        <v>44</v>
      </c>
      <c r="BL288" s="30">
        <v>0</v>
      </c>
      <c r="BM288" t="s">
        <v>166</v>
      </c>
      <c r="BN288" t="s">
        <v>153</v>
      </c>
      <c r="BP288" s="30">
        <v>71.3</v>
      </c>
      <c r="BQ288">
        <v>3</v>
      </c>
      <c r="BR288">
        <v>6</v>
      </c>
      <c r="BS288">
        <v>993</v>
      </c>
      <c r="BT288">
        <v>183</v>
      </c>
      <c r="BV288" s="23" t="s">
        <v>801</v>
      </c>
    </row>
    <row r="289" spans="1:74">
      <c r="A289">
        <v>284</v>
      </c>
      <c r="B289" s="1">
        <v>1</v>
      </c>
      <c r="C289">
        <v>104</v>
      </c>
      <c r="D289" t="s">
        <v>131</v>
      </c>
      <c r="E289">
        <v>2009</v>
      </c>
      <c r="F289" t="s">
        <v>33</v>
      </c>
      <c r="G289" t="s">
        <v>160</v>
      </c>
      <c r="H289" s="1" t="s">
        <v>347</v>
      </c>
      <c r="I289">
        <v>51</v>
      </c>
      <c r="J289">
        <v>174</v>
      </c>
      <c r="K289">
        <v>174</v>
      </c>
      <c r="L289">
        <v>2600</v>
      </c>
      <c r="M289">
        <v>1500</v>
      </c>
      <c r="N289">
        <v>0</v>
      </c>
      <c r="O289">
        <v>5200</v>
      </c>
      <c r="P289">
        <v>310</v>
      </c>
      <c r="Q289">
        <v>400</v>
      </c>
      <c r="R289" t="s">
        <v>162</v>
      </c>
      <c r="S289" s="30" t="s">
        <v>256</v>
      </c>
      <c r="T289">
        <v>22.2</v>
      </c>
      <c r="U289">
        <v>387</v>
      </c>
      <c r="V289" s="1">
        <v>513</v>
      </c>
      <c r="W289" s="1">
        <v>190</v>
      </c>
      <c r="X289" t="s">
        <v>181</v>
      </c>
      <c r="Y289">
        <v>40</v>
      </c>
      <c r="Z289">
        <v>4</v>
      </c>
      <c r="AA289">
        <v>6.2</v>
      </c>
      <c r="AB289">
        <v>30</v>
      </c>
      <c r="AC289">
        <v>1378</v>
      </c>
      <c r="AD289">
        <v>209</v>
      </c>
      <c r="AE289">
        <v>5</v>
      </c>
      <c r="AF289">
        <v>42</v>
      </c>
      <c r="AG289">
        <v>4</v>
      </c>
      <c r="AH289">
        <v>50</v>
      </c>
      <c r="AI289">
        <v>5</v>
      </c>
      <c r="AJ289">
        <v>42</v>
      </c>
      <c r="AK289">
        <v>4</v>
      </c>
      <c r="AL289">
        <v>50</v>
      </c>
      <c r="AN289">
        <v>380</v>
      </c>
      <c r="AO289">
        <v>380</v>
      </c>
      <c r="AP289" t="s">
        <v>162</v>
      </c>
      <c r="AQ289" s="30" t="s">
        <v>278</v>
      </c>
      <c r="AR289">
        <v>22.2</v>
      </c>
      <c r="AS289">
        <v>387</v>
      </c>
      <c r="AT289">
        <v>708</v>
      </c>
      <c r="AU289">
        <v>188</v>
      </c>
      <c r="AV289" t="s">
        <v>311</v>
      </c>
      <c r="AW289">
        <v>45</v>
      </c>
      <c r="AX289">
        <v>4</v>
      </c>
      <c r="AY289">
        <v>7.1</v>
      </c>
      <c r="AZ289">
        <v>40</v>
      </c>
      <c r="BA289">
        <v>1368</v>
      </c>
      <c r="BB289">
        <v>217</v>
      </c>
      <c r="BC289">
        <v>6</v>
      </c>
      <c r="BD289">
        <v>42</v>
      </c>
      <c r="BE289">
        <v>2</v>
      </c>
      <c r="BF289">
        <v>66</v>
      </c>
      <c r="BG289">
        <v>6</v>
      </c>
      <c r="BH289">
        <v>42</v>
      </c>
      <c r="BI289">
        <v>2</v>
      </c>
      <c r="BJ289">
        <v>66</v>
      </c>
      <c r="BL289" s="30">
        <v>4</v>
      </c>
      <c r="BM289" t="s">
        <v>166</v>
      </c>
      <c r="BN289" t="s">
        <v>311</v>
      </c>
      <c r="BP289" s="30">
        <v>40</v>
      </c>
      <c r="BQ289">
        <v>5</v>
      </c>
      <c r="BR289">
        <v>10</v>
      </c>
      <c r="BS289">
        <v>1368</v>
      </c>
      <c r="BT289">
        <v>217</v>
      </c>
      <c r="BV289" s="23" t="s">
        <v>801</v>
      </c>
    </row>
    <row r="290" spans="1:74">
      <c r="A290">
        <v>285</v>
      </c>
      <c r="B290" s="1">
        <v>1</v>
      </c>
      <c r="G290" t="s">
        <v>84</v>
      </c>
      <c r="H290" s="1" t="s">
        <v>348</v>
      </c>
      <c r="I290">
        <v>54.4</v>
      </c>
      <c r="J290">
        <v>174</v>
      </c>
      <c r="K290">
        <v>174</v>
      </c>
      <c r="L290">
        <v>2600</v>
      </c>
      <c r="M290">
        <v>1500</v>
      </c>
      <c r="N290">
        <v>0</v>
      </c>
      <c r="O290">
        <v>5200</v>
      </c>
      <c r="P290">
        <v>310</v>
      </c>
      <c r="Q290">
        <v>400</v>
      </c>
      <c r="R290" t="s">
        <v>349</v>
      </c>
      <c r="S290" s="30" t="s">
        <v>383</v>
      </c>
      <c r="T290">
        <v>22.2</v>
      </c>
      <c r="U290">
        <v>387</v>
      </c>
      <c r="V290" s="1">
        <v>1172</v>
      </c>
      <c r="W290" s="1">
        <v>190</v>
      </c>
      <c r="X290" t="s">
        <v>181</v>
      </c>
      <c r="Y290">
        <v>40</v>
      </c>
      <c r="Z290">
        <v>4</v>
      </c>
      <c r="AA290">
        <v>6.2</v>
      </c>
      <c r="AB290">
        <v>30</v>
      </c>
      <c r="AC290">
        <v>1378</v>
      </c>
      <c r="AD290">
        <v>209</v>
      </c>
      <c r="AE290">
        <v>5</v>
      </c>
      <c r="AF290">
        <v>42</v>
      </c>
      <c r="AG290">
        <v>4</v>
      </c>
      <c r="AH290">
        <v>50</v>
      </c>
      <c r="AI290">
        <v>5</v>
      </c>
      <c r="AJ290">
        <v>42</v>
      </c>
      <c r="AK290">
        <v>4</v>
      </c>
      <c r="AL290">
        <v>50</v>
      </c>
      <c r="AN290">
        <v>380</v>
      </c>
      <c r="AO290">
        <v>380</v>
      </c>
      <c r="AP290" t="s">
        <v>349</v>
      </c>
      <c r="AQ290" s="30" t="s">
        <v>383</v>
      </c>
      <c r="AR290">
        <v>22.2</v>
      </c>
      <c r="AS290">
        <v>387</v>
      </c>
      <c r="AT290">
        <v>1172</v>
      </c>
      <c r="AU290">
        <v>190</v>
      </c>
      <c r="AV290" t="s">
        <v>311</v>
      </c>
      <c r="AW290">
        <v>45</v>
      </c>
      <c r="AX290">
        <v>4</v>
      </c>
      <c r="AY290">
        <v>7.1</v>
      </c>
      <c r="AZ290">
        <v>40</v>
      </c>
      <c r="BA290">
        <v>1368</v>
      </c>
      <c r="BB290">
        <v>217</v>
      </c>
      <c r="BC290">
        <v>6</v>
      </c>
      <c r="BD290">
        <v>42</v>
      </c>
      <c r="BE290">
        <v>2</v>
      </c>
      <c r="BF290">
        <v>66</v>
      </c>
      <c r="BG290">
        <v>6</v>
      </c>
      <c r="BH290">
        <v>42</v>
      </c>
      <c r="BI290">
        <v>2</v>
      </c>
      <c r="BJ290">
        <v>66</v>
      </c>
      <c r="BL290" s="30">
        <v>4</v>
      </c>
      <c r="BM290" t="s">
        <v>166</v>
      </c>
      <c r="BN290" t="s">
        <v>311</v>
      </c>
      <c r="BP290" s="30">
        <v>40</v>
      </c>
      <c r="BQ290">
        <v>5</v>
      </c>
      <c r="BR290">
        <v>10</v>
      </c>
      <c r="BS290">
        <v>1368</v>
      </c>
      <c r="BT290">
        <v>217</v>
      </c>
      <c r="BV290" s="23" t="s">
        <v>801</v>
      </c>
    </row>
    <row r="291" spans="1:74">
      <c r="A291">
        <v>286</v>
      </c>
      <c r="B291" s="1">
        <v>1</v>
      </c>
      <c r="C291">
        <v>105</v>
      </c>
      <c r="D291" t="s">
        <v>68</v>
      </c>
      <c r="E291">
        <v>2009</v>
      </c>
      <c r="F291" t="s">
        <v>33</v>
      </c>
      <c r="G291" t="s">
        <v>158</v>
      </c>
      <c r="H291" s="1" t="s">
        <v>350</v>
      </c>
      <c r="I291">
        <v>54.6</v>
      </c>
      <c r="J291">
        <v>64.2</v>
      </c>
      <c r="K291">
        <v>54.6</v>
      </c>
      <c r="L291">
        <v>2600</v>
      </c>
      <c r="M291">
        <v>1800</v>
      </c>
      <c r="N291">
        <v>0</v>
      </c>
      <c r="O291">
        <v>2160</v>
      </c>
      <c r="P291">
        <v>250</v>
      </c>
      <c r="Q291">
        <v>400</v>
      </c>
      <c r="R291" t="s">
        <v>57</v>
      </c>
      <c r="S291" s="30" t="s">
        <v>256</v>
      </c>
      <c r="T291">
        <v>19.100000000000001</v>
      </c>
      <c r="U291">
        <v>287</v>
      </c>
      <c r="V291" s="1">
        <v>522</v>
      </c>
      <c r="W291" s="1">
        <v>197</v>
      </c>
      <c r="X291" t="s">
        <v>351</v>
      </c>
      <c r="Y291">
        <v>50</v>
      </c>
      <c r="Z291">
        <v>2</v>
      </c>
      <c r="AA291">
        <v>6.2</v>
      </c>
      <c r="AB291">
        <v>30.19</v>
      </c>
      <c r="AC291">
        <v>1276</v>
      </c>
      <c r="AD291">
        <v>199</v>
      </c>
      <c r="AE291">
        <v>4</v>
      </c>
      <c r="AF291">
        <v>40</v>
      </c>
      <c r="AG291">
        <v>2</v>
      </c>
      <c r="AH291">
        <v>60</v>
      </c>
      <c r="AI291">
        <v>4</v>
      </c>
      <c r="AJ291">
        <v>40</v>
      </c>
      <c r="AK291">
        <v>2</v>
      </c>
      <c r="AL291">
        <v>60</v>
      </c>
      <c r="AN291">
        <v>450</v>
      </c>
      <c r="AO291">
        <v>400</v>
      </c>
      <c r="AP291" t="s">
        <v>57</v>
      </c>
      <c r="AQ291" s="30" t="s">
        <v>278</v>
      </c>
      <c r="AR291">
        <v>19.100000000000001</v>
      </c>
      <c r="AS291">
        <v>287</v>
      </c>
      <c r="AT291">
        <v>746</v>
      </c>
      <c r="AU291">
        <v>202</v>
      </c>
      <c r="AV291" t="s">
        <v>351</v>
      </c>
      <c r="AW291">
        <v>50</v>
      </c>
      <c r="AX291">
        <v>2</v>
      </c>
      <c r="AY291">
        <v>6.2</v>
      </c>
      <c r="AZ291">
        <v>30.19</v>
      </c>
      <c r="BA291">
        <v>1276</v>
      </c>
      <c r="BB291">
        <v>199</v>
      </c>
      <c r="BC291">
        <v>4</v>
      </c>
      <c r="BD291">
        <v>40</v>
      </c>
      <c r="BE291">
        <v>2</v>
      </c>
      <c r="BF291">
        <v>85</v>
      </c>
      <c r="BG291">
        <v>4</v>
      </c>
      <c r="BH291">
        <v>40</v>
      </c>
      <c r="BI291">
        <v>2</v>
      </c>
      <c r="BJ291">
        <v>85</v>
      </c>
      <c r="BL291" s="30">
        <v>2</v>
      </c>
      <c r="BM291" t="s">
        <v>379</v>
      </c>
      <c r="BN291" t="s">
        <v>351</v>
      </c>
      <c r="BP291" s="30">
        <v>30.19</v>
      </c>
      <c r="BQ291">
        <v>5</v>
      </c>
      <c r="BR291">
        <v>20</v>
      </c>
      <c r="BS291" s="1">
        <v>1276</v>
      </c>
      <c r="BT291" s="1">
        <v>199</v>
      </c>
      <c r="BV291" s="23" t="s">
        <v>801</v>
      </c>
    </row>
    <row r="292" spans="1:74" s="14" customFormat="1" ht="19.5" thickBot="1">
      <c r="A292">
        <v>287</v>
      </c>
      <c r="B292" s="1">
        <v>1</v>
      </c>
      <c r="G292" s="14" t="s">
        <v>84</v>
      </c>
      <c r="H292" s="15" t="s">
        <v>245</v>
      </c>
      <c r="I292" s="14">
        <v>54.6</v>
      </c>
      <c r="J292" s="14">
        <v>64.2</v>
      </c>
      <c r="K292" s="14">
        <v>54.6</v>
      </c>
      <c r="L292" s="14">
        <v>2600</v>
      </c>
      <c r="M292" s="14">
        <v>1800</v>
      </c>
      <c r="N292" s="14">
        <v>0</v>
      </c>
      <c r="O292" s="14">
        <v>2160</v>
      </c>
      <c r="P292" s="14">
        <v>250</v>
      </c>
      <c r="Q292" s="14">
        <v>400</v>
      </c>
      <c r="R292" s="14" t="s">
        <v>57</v>
      </c>
      <c r="S292" s="32" t="s">
        <v>278</v>
      </c>
      <c r="T292" s="14">
        <v>19.100000000000001</v>
      </c>
      <c r="U292" s="14">
        <v>287</v>
      </c>
      <c r="V292" s="15">
        <v>710</v>
      </c>
      <c r="W292" s="15">
        <v>185</v>
      </c>
      <c r="X292" s="14" t="s">
        <v>351</v>
      </c>
      <c r="Y292" s="14">
        <v>50</v>
      </c>
      <c r="Z292" s="14">
        <v>4</v>
      </c>
      <c r="AA292" s="14">
        <v>6.2</v>
      </c>
      <c r="AB292" s="14">
        <v>30.19</v>
      </c>
      <c r="AC292" s="14">
        <v>1276</v>
      </c>
      <c r="AD292" s="14">
        <v>199</v>
      </c>
      <c r="AE292" s="14">
        <v>4</v>
      </c>
      <c r="AF292" s="14">
        <v>40</v>
      </c>
      <c r="AG292" s="14">
        <v>2</v>
      </c>
      <c r="AH292" s="14">
        <v>60</v>
      </c>
      <c r="AI292" s="14">
        <v>4</v>
      </c>
      <c r="AJ292" s="14">
        <v>40</v>
      </c>
      <c r="AK292" s="14">
        <v>2</v>
      </c>
      <c r="AL292" s="14">
        <v>60</v>
      </c>
      <c r="AM292" s="32"/>
      <c r="AN292" s="14">
        <v>450</v>
      </c>
      <c r="AO292" s="14">
        <v>400</v>
      </c>
      <c r="AP292" s="14" t="s">
        <v>57</v>
      </c>
      <c r="AQ292" s="32" t="s">
        <v>278</v>
      </c>
      <c r="AR292" s="14">
        <v>19.100000000000001</v>
      </c>
      <c r="AS292" s="14">
        <v>287</v>
      </c>
      <c r="AT292" s="14">
        <v>746</v>
      </c>
      <c r="AU292" s="14">
        <v>202</v>
      </c>
      <c r="AV292" s="14" t="s">
        <v>351</v>
      </c>
      <c r="AW292" s="14">
        <v>50</v>
      </c>
      <c r="AX292" s="14">
        <v>4</v>
      </c>
      <c r="AY292" s="14">
        <v>6.2</v>
      </c>
      <c r="AZ292" s="14">
        <v>30.19</v>
      </c>
      <c r="BA292" s="14">
        <v>1276</v>
      </c>
      <c r="BB292" s="14">
        <v>199</v>
      </c>
      <c r="BC292" s="14">
        <v>4</v>
      </c>
      <c r="BD292" s="14">
        <v>40</v>
      </c>
      <c r="BE292" s="14">
        <v>2</v>
      </c>
      <c r="BF292" s="14">
        <v>85</v>
      </c>
      <c r="BG292" s="14">
        <v>4</v>
      </c>
      <c r="BH292" s="14">
        <v>40</v>
      </c>
      <c r="BI292" s="14">
        <v>2</v>
      </c>
      <c r="BJ292" s="14">
        <v>85</v>
      </c>
      <c r="BK292" s="32"/>
      <c r="BL292" s="32">
        <v>2</v>
      </c>
      <c r="BM292" s="14" t="s">
        <v>379</v>
      </c>
      <c r="BN292" s="14" t="s">
        <v>351</v>
      </c>
      <c r="BO292" s="32"/>
      <c r="BP292" s="32">
        <v>30.19</v>
      </c>
      <c r="BQ292" s="14">
        <v>5</v>
      </c>
      <c r="BR292" s="14">
        <v>20</v>
      </c>
      <c r="BS292" s="15">
        <v>1276</v>
      </c>
      <c r="BT292" s="15">
        <v>199</v>
      </c>
      <c r="BU292" s="85"/>
      <c r="BV292" s="85" t="s">
        <v>801</v>
      </c>
    </row>
    <row r="293" spans="1:74">
      <c r="A293">
        <v>288</v>
      </c>
      <c r="B293" s="1">
        <v>1</v>
      </c>
      <c r="C293">
        <v>106</v>
      </c>
      <c r="D293" t="s">
        <v>725</v>
      </c>
      <c r="E293">
        <v>2010</v>
      </c>
      <c r="F293" t="s">
        <v>726</v>
      </c>
      <c r="G293" t="s">
        <v>160</v>
      </c>
      <c r="H293" s="1" t="s">
        <v>132</v>
      </c>
      <c r="I293">
        <v>29</v>
      </c>
      <c r="J293">
        <v>29</v>
      </c>
      <c r="K293">
        <f t="shared" ref="K293:K318" si="128">J293</f>
        <v>29</v>
      </c>
      <c r="L293">
        <v>1400</v>
      </c>
      <c r="M293">
        <v>1400</v>
      </c>
      <c r="N293">
        <v>0</v>
      </c>
      <c r="O293">
        <f t="shared" ref="O293:O318" si="129">0*AN293*AO293*J293/1000</f>
        <v>0</v>
      </c>
      <c r="P293">
        <v>240</v>
      </c>
      <c r="Q293">
        <v>240</v>
      </c>
      <c r="R293" t="s">
        <v>62</v>
      </c>
      <c r="S293" s="30" t="s">
        <v>76</v>
      </c>
      <c r="T293">
        <v>12.7</v>
      </c>
      <c r="U293">
        <v>127</v>
      </c>
      <c r="V293" s="1">
        <v>378</v>
      </c>
      <c r="W293" s="1">
        <v>188</v>
      </c>
      <c r="X293" t="s">
        <v>40</v>
      </c>
      <c r="Y293">
        <v>50</v>
      </c>
      <c r="Z293">
        <v>2</v>
      </c>
      <c r="AA293">
        <v>6.35</v>
      </c>
      <c r="AB293">
        <v>31.7</v>
      </c>
      <c r="AC293">
        <v>399</v>
      </c>
      <c r="AD293">
        <v>204</v>
      </c>
      <c r="AE293">
        <v>4</v>
      </c>
      <c r="AF293">
        <v>24</v>
      </c>
      <c r="AG293">
        <v>0</v>
      </c>
      <c r="AH293">
        <v>0</v>
      </c>
      <c r="AI293">
        <v>4</v>
      </c>
      <c r="AJ293">
        <v>24</v>
      </c>
      <c r="AK293">
        <v>0</v>
      </c>
      <c r="AL293">
        <v>0</v>
      </c>
      <c r="AM293" s="30">
        <v>38</v>
      </c>
      <c r="AN293">
        <v>240</v>
      </c>
      <c r="AO293">
        <v>240</v>
      </c>
      <c r="AP293" t="s">
        <v>62</v>
      </c>
      <c r="AQ293" s="30" t="s">
        <v>76</v>
      </c>
      <c r="AR293">
        <v>12.7</v>
      </c>
      <c r="AS293">
        <v>127</v>
      </c>
      <c r="AT293">
        <v>378</v>
      </c>
      <c r="AU293">
        <v>188</v>
      </c>
      <c r="AV293" t="s">
        <v>40</v>
      </c>
      <c r="AW293">
        <v>50</v>
      </c>
      <c r="AX293">
        <v>2</v>
      </c>
      <c r="AY293">
        <v>6.35</v>
      </c>
      <c r="AZ293">
        <v>31.7</v>
      </c>
      <c r="BA293">
        <v>399</v>
      </c>
      <c r="BB293">
        <v>204</v>
      </c>
      <c r="BC293">
        <v>4</v>
      </c>
      <c r="BD293">
        <v>24</v>
      </c>
      <c r="BE293">
        <v>0</v>
      </c>
      <c r="BF293">
        <v>0</v>
      </c>
      <c r="BG293">
        <v>4</v>
      </c>
      <c r="BH293">
        <v>24</v>
      </c>
      <c r="BI293">
        <v>0</v>
      </c>
      <c r="BJ293">
        <v>0</v>
      </c>
      <c r="BK293" s="30">
        <v>24</v>
      </c>
      <c r="BL293" s="30">
        <v>0</v>
      </c>
      <c r="BM293" t="s">
        <v>166</v>
      </c>
      <c r="BN293" t="s">
        <v>797</v>
      </c>
      <c r="BP293" s="30">
        <v>31.7</v>
      </c>
      <c r="BQ293">
        <v>2</v>
      </c>
      <c r="BR293">
        <v>4</v>
      </c>
      <c r="BS293">
        <v>399</v>
      </c>
      <c r="BT293">
        <v>204</v>
      </c>
      <c r="BU293" s="23">
        <v>0.28000000000000003</v>
      </c>
    </row>
    <row r="294" spans="1:74">
      <c r="A294">
        <v>289</v>
      </c>
      <c r="B294" s="1">
        <v>1</v>
      </c>
      <c r="G294" t="s">
        <v>160</v>
      </c>
      <c r="H294" s="1" t="s">
        <v>133</v>
      </c>
      <c r="I294">
        <v>29</v>
      </c>
      <c r="J294">
        <v>29</v>
      </c>
      <c r="K294">
        <f t="shared" si="128"/>
        <v>29</v>
      </c>
      <c r="L294">
        <v>1400</v>
      </c>
      <c r="M294">
        <v>1400</v>
      </c>
      <c r="N294">
        <v>0</v>
      </c>
      <c r="O294">
        <f t="shared" si="129"/>
        <v>0</v>
      </c>
      <c r="P294">
        <v>240</v>
      </c>
      <c r="Q294">
        <v>240</v>
      </c>
      <c r="R294" t="s">
        <v>62</v>
      </c>
      <c r="S294" s="30" t="s">
        <v>76</v>
      </c>
      <c r="T294">
        <v>12.7</v>
      </c>
      <c r="U294">
        <v>127</v>
      </c>
      <c r="V294" s="1">
        <v>378</v>
      </c>
      <c r="W294" s="1">
        <v>188</v>
      </c>
      <c r="X294" t="s">
        <v>40</v>
      </c>
      <c r="Y294">
        <v>50</v>
      </c>
      <c r="Z294">
        <v>2</v>
      </c>
      <c r="AA294">
        <v>6.35</v>
      </c>
      <c r="AB294">
        <v>31.7</v>
      </c>
      <c r="AC294">
        <v>399</v>
      </c>
      <c r="AD294">
        <v>204</v>
      </c>
      <c r="AE294">
        <v>5</v>
      </c>
      <c r="AF294">
        <v>24</v>
      </c>
      <c r="AG294">
        <v>0</v>
      </c>
      <c r="AH294">
        <v>0</v>
      </c>
      <c r="AI294">
        <v>5</v>
      </c>
      <c r="AJ294">
        <v>24</v>
      </c>
      <c r="AK294">
        <v>0</v>
      </c>
      <c r="AL294">
        <v>0</v>
      </c>
      <c r="AM294" s="30">
        <v>38</v>
      </c>
      <c r="AN294">
        <v>240</v>
      </c>
      <c r="AO294">
        <v>240</v>
      </c>
      <c r="AP294" t="s">
        <v>62</v>
      </c>
      <c r="AQ294" s="30" t="s">
        <v>76</v>
      </c>
      <c r="AR294">
        <v>12.7</v>
      </c>
      <c r="AS294">
        <v>127</v>
      </c>
      <c r="AT294">
        <v>378</v>
      </c>
      <c r="AU294">
        <v>188</v>
      </c>
      <c r="AV294" t="s">
        <v>40</v>
      </c>
      <c r="AW294">
        <v>50</v>
      </c>
      <c r="AX294">
        <v>2</v>
      </c>
      <c r="AY294">
        <v>6.35</v>
      </c>
      <c r="AZ294">
        <v>31.7</v>
      </c>
      <c r="BA294">
        <v>399</v>
      </c>
      <c r="BB294">
        <v>204</v>
      </c>
      <c r="BC294">
        <v>5</v>
      </c>
      <c r="BD294">
        <v>24</v>
      </c>
      <c r="BE294">
        <v>0</v>
      </c>
      <c r="BF294">
        <v>0</v>
      </c>
      <c r="BG294">
        <v>5</v>
      </c>
      <c r="BH294">
        <v>24</v>
      </c>
      <c r="BI294">
        <v>0</v>
      </c>
      <c r="BJ294">
        <v>0</v>
      </c>
      <c r="BK294" s="30">
        <v>24</v>
      </c>
      <c r="BL294" s="30">
        <v>0</v>
      </c>
      <c r="BM294" t="s">
        <v>166</v>
      </c>
      <c r="BN294" t="s">
        <v>797</v>
      </c>
      <c r="BP294" s="30">
        <v>31.7</v>
      </c>
      <c r="BQ294">
        <v>2</v>
      </c>
      <c r="BR294">
        <v>4</v>
      </c>
      <c r="BS294">
        <v>399</v>
      </c>
      <c r="BT294">
        <v>204</v>
      </c>
      <c r="BU294" s="23">
        <v>0.28000000000000003</v>
      </c>
    </row>
    <row r="295" spans="1:74">
      <c r="A295">
        <v>290</v>
      </c>
      <c r="B295" s="1">
        <v>1</v>
      </c>
      <c r="G295" t="s">
        <v>160</v>
      </c>
      <c r="H295" s="1" t="s">
        <v>134</v>
      </c>
      <c r="I295">
        <v>29</v>
      </c>
      <c r="J295">
        <v>29</v>
      </c>
      <c r="K295">
        <f t="shared" si="128"/>
        <v>29</v>
      </c>
      <c r="L295">
        <v>1400</v>
      </c>
      <c r="M295">
        <v>1400</v>
      </c>
      <c r="N295">
        <v>0</v>
      </c>
      <c r="O295">
        <f t="shared" si="129"/>
        <v>0</v>
      </c>
      <c r="P295">
        <v>240</v>
      </c>
      <c r="Q295">
        <v>240</v>
      </c>
      <c r="R295" t="s">
        <v>39</v>
      </c>
      <c r="S295" s="30" t="s">
        <v>243</v>
      </c>
      <c r="T295">
        <v>15.9</v>
      </c>
      <c r="U295">
        <v>199</v>
      </c>
      <c r="V295" s="1">
        <v>425</v>
      </c>
      <c r="W295" s="1">
        <v>192</v>
      </c>
      <c r="X295" t="s">
        <v>40</v>
      </c>
      <c r="Y295">
        <v>50</v>
      </c>
      <c r="Z295">
        <v>2</v>
      </c>
      <c r="AA295">
        <v>6.35</v>
      </c>
      <c r="AB295">
        <v>31.7</v>
      </c>
      <c r="AC295">
        <v>399</v>
      </c>
      <c r="AD295">
        <v>204</v>
      </c>
      <c r="AE295">
        <v>5</v>
      </c>
      <c r="AF295">
        <v>24</v>
      </c>
      <c r="AG295">
        <v>0</v>
      </c>
      <c r="AH295">
        <v>0</v>
      </c>
      <c r="AI295">
        <v>5</v>
      </c>
      <c r="AJ295">
        <v>24</v>
      </c>
      <c r="AK295">
        <v>0</v>
      </c>
      <c r="AL295">
        <v>0</v>
      </c>
      <c r="AM295" s="30">
        <v>38</v>
      </c>
      <c r="AN295">
        <v>240</v>
      </c>
      <c r="AO295">
        <v>240</v>
      </c>
      <c r="AP295" t="s">
        <v>39</v>
      </c>
      <c r="AQ295" s="30" t="s">
        <v>243</v>
      </c>
      <c r="AR295">
        <v>15.9</v>
      </c>
      <c r="AS295">
        <v>199</v>
      </c>
      <c r="AT295">
        <v>425</v>
      </c>
      <c r="AU295">
        <v>192</v>
      </c>
      <c r="AV295" t="s">
        <v>40</v>
      </c>
      <c r="AW295">
        <v>50</v>
      </c>
      <c r="AX295">
        <v>2</v>
      </c>
      <c r="AY295">
        <v>6.35</v>
      </c>
      <c r="AZ295">
        <v>31.7</v>
      </c>
      <c r="BA295">
        <v>399</v>
      </c>
      <c r="BB295">
        <v>204</v>
      </c>
      <c r="BC295">
        <v>5</v>
      </c>
      <c r="BD295">
        <v>24</v>
      </c>
      <c r="BE295">
        <v>0</v>
      </c>
      <c r="BF295">
        <v>0</v>
      </c>
      <c r="BG295">
        <v>5</v>
      </c>
      <c r="BH295">
        <v>24</v>
      </c>
      <c r="BI295">
        <v>0</v>
      </c>
      <c r="BJ295">
        <v>0</v>
      </c>
      <c r="BK295" s="30">
        <v>24</v>
      </c>
      <c r="BL295" s="30">
        <v>0</v>
      </c>
      <c r="BM295" t="s">
        <v>166</v>
      </c>
      <c r="BN295" t="s">
        <v>797</v>
      </c>
      <c r="BP295" s="30">
        <v>31.7</v>
      </c>
      <c r="BQ295">
        <v>2</v>
      </c>
      <c r="BR295">
        <v>4</v>
      </c>
      <c r="BS295">
        <v>399</v>
      </c>
      <c r="BT295">
        <v>204</v>
      </c>
      <c r="BU295" s="23">
        <v>0.28000000000000003</v>
      </c>
    </row>
    <row r="296" spans="1:74">
      <c r="A296">
        <v>291</v>
      </c>
      <c r="B296" s="1">
        <v>1</v>
      </c>
      <c r="G296" t="s">
        <v>160</v>
      </c>
      <c r="H296" s="1" t="s">
        <v>135</v>
      </c>
      <c r="I296">
        <v>29</v>
      </c>
      <c r="J296">
        <v>29</v>
      </c>
      <c r="K296">
        <f t="shared" si="128"/>
        <v>29</v>
      </c>
      <c r="L296">
        <v>1400</v>
      </c>
      <c r="M296">
        <v>1400</v>
      </c>
      <c r="N296">
        <v>0</v>
      </c>
      <c r="O296">
        <f t="shared" si="129"/>
        <v>0</v>
      </c>
      <c r="P296">
        <v>240</v>
      </c>
      <c r="Q296">
        <v>240</v>
      </c>
      <c r="R296" t="s">
        <v>62</v>
      </c>
      <c r="S296" s="30" t="s">
        <v>76</v>
      </c>
      <c r="T296">
        <v>12.7</v>
      </c>
      <c r="U296">
        <v>127</v>
      </c>
      <c r="V296" s="1">
        <v>378</v>
      </c>
      <c r="W296" s="1">
        <v>188</v>
      </c>
      <c r="X296" t="s">
        <v>40</v>
      </c>
      <c r="Y296">
        <v>50</v>
      </c>
      <c r="Z296">
        <v>2</v>
      </c>
      <c r="AA296">
        <v>6.35</v>
      </c>
      <c r="AB296">
        <v>31.7</v>
      </c>
      <c r="AC296">
        <v>399</v>
      </c>
      <c r="AD296">
        <v>204</v>
      </c>
      <c r="AE296">
        <v>4</v>
      </c>
      <c r="AF296">
        <v>24</v>
      </c>
      <c r="AG296">
        <v>0</v>
      </c>
      <c r="AH296">
        <v>0</v>
      </c>
      <c r="AI296">
        <v>4</v>
      </c>
      <c r="AJ296">
        <v>24</v>
      </c>
      <c r="AK296">
        <v>0</v>
      </c>
      <c r="AL296">
        <v>0</v>
      </c>
      <c r="AM296" s="30">
        <v>38</v>
      </c>
      <c r="AN296">
        <v>240</v>
      </c>
      <c r="AO296">
        <v>240</v>
      </c>
      <c r="AP296" t="s">
        <v>62</v>
      </c>
      <c r="AQ296" s="30" t="s">
        <v>76</v>
      </c>
      <c r="AR296">
        <v>12.7</v>
      </c>
      <c r="AS296">
        <v>127</v>
      </c>
      <c r="AT296">
        <v>378</v>
      </c>
      <c r="AU296">
        <v>188</v>
      </c>
      <c r="AV296" t="s">
        <v>40</v>
      </c>
      <c r="AW296">
        <v>50</v>
      </c>
      <c r="AX296">
        <v>2</v>
      </c>
      <c r="AY296">
        <v>6.35</v>
      </c>
      <c r="AZ296">
        <v>31.7</v>
      </c>
      <c r="BA296">
        <v>399</v>
      </c>
      <c r="BB296">
        <v>204</v>
      </c>
      <c r="BC296">
        <v>6</v>
      </c>
      <c r="BD296">
        <v>24</v>
      </c>
      <c r="BE296">
        <v>0</v>
      </c>
      <c r="BF296">
        <v>0</v>
      </c>
      <c r="BG296">
        <v>6</v>
      </c>
      <c r="BH296">
        <v>24</v>
      </c>
      <c r="BI296">
        <v>0</v>
      </c>
      <c r="BJ296">
        <v>0</v>
      </c>
      <c r="BK296" s="30">
        <v>24</v>
      </c>
      <c r="BL296" s="30">
        <v>0</v>
      </c>
      <c r="BM296" t="s">
        <v>166</v>
      </c>
      <c r="BN296" t="s">
        <v>40</v>
      </c>
      <c r="BP296" s="30">
        <v>31.7</v>
      </c>
      <c r="BQ296">
        <v>2</v>
      </c>
      <c r="BR296">
        <v>4</v>
      </c>
      <c r="BS296">
        <v>399</v>
      </c>
      <c r="BT296">
        <v>204</v>
      </c>
      <c r="BU296" s="23">
        <v>0.28000000000000003</v>
      </c>
    </row>
    <row r="297" spans="1:74">
      <c r="A297">
        <v>292</v>
      </c>
      <c r="B297" s="1">
        <v>1</v>
      </c>
      <c r="C297" s="17"/>
      <c r="D297" s="17"/>
      <c r="E297" s="17"/>
      <c r="F297" s="17"/>
      <c r="G297" s="17" t="s">
        <v>160</v>
      </c>
      <c r="H297" s="7" t="s">
        <v>136</v>
      </c>
      <c r="I297" s="17">
        <v>29</v>
      </c>
      <c r="J297" s="17">
        <v>29</v>
      </c>
      <c r="K297" s="17">
        <f t="shared" si="128"/>
        <v>29</v>
      </c>
      <c r="L297" s="17">
        <v>1400</v>
      </c>
      <c r="M297" s="17">
        <v>1400</v>
      </c>
      <c r="N297" s="17">
        <v>0</v>
      </c>
      <c r="O297" s="17">
        <f t="shared" si="129"/>
        <v>0</v>
      </c>
      <c r="P297" s="17">
        <v>240</v>
      </c>
      <c r="Q297" s="17">
        <v>240</v>
      </c>
      <c r="R297" s="17" t="s">
        <v>62</v>
      </c>
      <c r="S297" s="31" t="s">
        <v>76</v>
      </c>
      <c r="T297" s="17">
        <v>12.7</v>
      </c>
      <c r="U297" s="17">
        <v>127</v>
      </c>
      <c r="V297" s="7">
        <v>378</v>
      </c>
      <c r="W297" s="7">
        <v>188</v>
      </c>
      <c r="X297" s="17" t="s">
        <v>40</v>
      </c>
      <c r="Y297" s="17">
        <v>50</v>
      </c>
      <c r="Z297" s="17">
        <v>2</v>
      </c>
      <c r="AA297" s="17">
        <v>6.35</v>
      </c>
      <c r="AB297">
        <v>31.7</v>
      </c>
      <c r="AC297" s="17">
        <v>399</v>
      </c>
      <c r="AD297" s="17">
        <v>204</v>
      </c>
      <c r="AE297" s="17">
        <v>5</v>
      </c>
      <c r="AF297" s="17">
        <v>24</v>
      </c>
      <c r="AG297" s="17">
        <v>0</v>
      </c>
      <c r="AH297" s="17">
        <v>0</v>
      </c>
      <c r="AI297" s="17">
        <v>5</v>
      </c>
      <c r="AJ297" s="17">
        <v>24</v>
      </c>
      <c r="AK297" s="17">
        <v>0</v>
      </c>
      <c r="AL297" s="17">
        <v>0</v>
      </c>
      <c r="AM297" s="31">
        <v>38</v>
      </c>
      <c r="AN297" s="17">
        <v>240</v>
      </c>
      <c r="AO297" s="17">
        <v>240</v>
      </c>
      <c r="AP297" s="17" t="s">
        <v>62</v>
      </c>
      <c r="AQ297" s="31" t="s">
        <v>76</v>
      </c>
      <c r="AR297" s="17">
        <v>12.7</v>
      </c>
      <c r="AS297" s="17">
        <v>127</v>
      </c>
      <c r="AT297" s="17">
        <v>378</v>
      </c>
      <c r="AU297" s="17">
        <v>188</v>
      </c>
      <c r="AV297" s="17" t="s">
        <v>40</v>
      </c>
      <c r="AW297" s="17">
        <v>50</v>
      </c>
      <c r="AX297" s="17">
        <v>2</v>
      </c>
      <c r="AY297" s="17">
        <v>6.35</v>
      </c>
      <c r="AZ297" s="17">
        <v>31.7</v>
      </c>
      <c r="BA297" s="17">
        <v>399</v>
      </c>
      <c r="BB297" s="17">
        <v>204</v>
      </c>
      <c r="BC297" s="17">
        <v>5</v>
      </c>
      <c r="BD297" s="17">
        <v>24</v>
      </c>
      <c r="BE297" s="17">
        <v>2</v>
      </c>
      <c r="BF297" s="17">
        <v>36</v>
      </c>
      <c r="BG297" s="17">
        <v>5</v>
      </c>
      <c r="BH297" s="17">
        <v>24</v>
      </c>
      <c r="BI297" s="17">
        <v>2</v>
      </c>
      <c r="BJ297" s="17">
        <v>36</v>
      </c>
      <c r="BK297" s="31">
        <v>24</v>
      </c>
      <c r="BL297" s="31">
        <v>0</v>
      </c>
      <c r="BM297" s="17" t="s">
        <v>166</v>
      </c>
      <c r="BN297" s="17" t="s">
        <v>40</v>
      </c>
      <c r="BO297" s="31"/>
      <c r="BP297" s="31">
        <v>31.7</v>
      </c>
      <c r="BQ297" s="17">
        <v>2</v>
      </c>
      <c r="BR297" s="17">
        <v>4</v>
      </c>
      <c r="BS297" s="17">
        <v>399</v>
      </c>
      <c r="BT297" s="17">
        <v>204</v>
      </c>
      <c r="BU297" s="86">
        <v>0.28000000000000003</v>
      </c>
      <c r="BV297" s="17"/>
    </row>
    <row r="298" spans="1:74">
      <c r="A298">
        <v>293</v>
      </c>
      <c r="B298" s="1">
        <v>1</v>
      </c>
      <c r="G298" t="s">
        <v>160</v>
      </c>
      <c r="H298" s="1" t="s">
        <v>137</v>
      </c>
      <c r="I298">
        <v>29</v>
      </c>
      <c r="J298">
        <v>29</v>
      </c>
      <c r="K298">
        <f t="shared" si="128"/>
        <v>29</v>
      </c>
      <c r="L298">
        <v>1400</v>
      </c>
      <c r="M298">
        <v>1400</v>
      </c>
      <c r="N298">
        <v>0</v>
      </c>
      <c r="O298">
        <f t="shared" si="129"/>
        <v>0</v>
      </c>
      <c r="P298">
        <v>240</v>
      </c>
      <c r="Q298">
        <v>240</v>
      </c>
      <c r="R298" t="s">
        <v>62</v>
      </c>
      <c r="S298" s="30" t="s">
        <v>76</v>
      </c>
      <c r="T298">
        <v>12.7</v>
      </c>
      <c r="U298">
        <v>127</v>
      </c>
      <c r="V298" s="1">
        <v>378</v>
      </c>
      <c r="W298" s="1">
        <v>188</v>
      </c>
      <c r="X298" t="s">
        <v>40</v>
      </c>
      <c r="Y298">
        <v>50</v>
      </c>
      <c r="Z298">
        <v>2</v>
      </c>
      <c r="AA298">
        <v>6.35</v>
      </c>
      <c r="AB298">
        <v>31.7</v>
      </c>
      <c r="AC298">
        <v>399</v>
      </c>
      <c r="AD298">
        <v>204</v>
      </c>
      <c r="AE298">
        <v>5</v>
      </c>
      <c r="AF298">
        <v>24</v>
      </c>
      <c r="AG298">
        <v>0</v>
      </c>
      <c r="AH298">
        <v>0</v>
      </c>
      <c r="AI298">
        <v>5</v>
      </c>
      <c r="AJ298">
        <v>24</v>
      </c>
      <c r="AK298">
        <v>0</v>
      </c>
      <c r="AL298">
        <v>0</v>
      </c>
      <c r="AM298" s="30">
        <v>38</v>
      </c>
      <c r="AN298">
        <v>240</v>
      </c>
      <c r="AO298">
        <v>240</v>
      </c>
      <c r="AP298" t="s">
        <v>62</v>
      </c>
      <c r="AQ298" s="30" t="s">
        <v>76</v>
      </c>
      <c r="AR298">
        <v>12.7</v>
      </c>
      <c r="AS298">
        <v>127</v>
      </c>
      <c r="AT298">
        <v>378</v>
      </c>
      <c r="AU298">
        <v>188</v>
      </c>
      <c r="AV298" t="s">
        <v>40</v>
      </c>
      <c r="AW298">
        <v>50</v>
      </c>
      <c r="AX298">
        <v>2</v>
      </c>
      <c r="AY298">
        <v>6.35</v>
      </c>
      <c r="AZ298">
        <v>31.7</v>
      </c>
      <c r="BA298">
        <v>399</v>
      </c>
      <c r="BB298">
        <v>204</v>
      </c>
      <c r="BC298">
        <v>5</v>
      </c>
      <c r="BD298">
        <v>24</v>
      </c>
      <c r="BE298">
        <v>5</v>
      </c>
      <c r="BF298">
        <v>36</v>
      </c>
      <c r="BG298">
        <v>5</v>
      </c>
      <c r="BH298">
        <v>24</v>
      </c>
      <c r="BI298">
        <v>5</v>
      </c>
      <c r="BJ298">
        <v>36</v>
      </c>
      <c r="BK298" s="30">
        <v>24</v>
      </c>
      <c r="BL298" s="30">
        <v>0</v>
      </c>
      <c r="BM298" t="s">
        <v>166</v>
      </c>
      <c r="BN298" t="s">
        <v>40</v>
      </c>
      <c r="BP298" s="30">
        <v>31.7</v>
      </c>
      <c r="BQ298">
        <v>2</v>
      </c>
      <c r="BR298">
        <v>4</v>
      </c>
      <c r="BS298">
        <v>399</v>
      </c>
      <c r="BT298">
        <v>204</v>
      </c>
      <c r="BU298" s="23">
        <v>0.28000000000000003</v>
      </c>
    </row>
    <row r="299" spans="1:74">
      <c r="A299">
        <v>294</v>
      </c>
      <c r="B299" s="1">
        <v>1</v>
      </c>
      <c r="G299" t="s">
        <v>160</v>
      </c>
      <c r="H299" s="1" t="s">
        <v>138</v>
      </c>
      <c r="I299">
        <v>29</v>
      </c>
      <c r="J299">
        <v>29</v>
      </c>
      <c r="K299">
        <f t="shared" si="128"/>
        <v>29</v>
      </c>
      <c r="L299">
        <v>1400</v>
      </c>
      <c r="M299">
        <v>1400</v>
      </c>
      <c r="N299">
        <v>0</v>
      </c>
      <c r="O299">
        <f t="shared" si="129"/>
        <v>0</v>
      </c>
      <c r="P299">
        <v>240</v>
      </c>
      <c r="Q299">
        <v>240</v>
      </c>
      <c r="R299" t="s">
        <v>62</v>
      </c>
      <c r="S299" s="30" t="s">
        <v>76</v>
      </c>
      <c r="T299">
        <v>12.7</v>
      </c>
      <c r="U299">
        <v>127</v>
      </c>
      <c r="V299" s="1">
        <v>378</v>
      </c>
      <c r="W299" s="1">
        <v>188</v>
      </c>
      <c r="X299" t="s">
        <v>40</v>
      </c>
      <c r="Y299">
        <v>50</v>
      </c>
      <c r="Z299">
        <v>2</v>
      </c>
      <c r="AA299">
        <v>6.35</v>
      </c>
      <c r="AB299">
        <v>31.7</v>
      </c>
      <c r="AC299">
        <v>399</v>
      </c>
      <c r="AD299">
        <v>204</v>
      </c>
      <c r="AE299">
        <v>4</v>
      </c>
      <c r="AF299">
        <v>42</v>
      </c>
      <c r="AG299">
        <v>0</v>
      </c>
      <c r="AH299">
        <v>0</v>
      </c>
      <c r="AI299">
        <v>4</v>
      </c>
      <c r="AJ299">
        <v>42</v>
      </c>
      <c r="AK299">
        <v>0</v>
      </c>
      <c r="AL299">
        <v>0</v>
      </c>
      <c r="AM299" s="30">
        <v>38</v>
      </c>
      <c r="AN299">
        <v>240</v>
      </c>
      <c r="AO299">
        <v>240</v>
      </c>
      <c r="AP299" t="s">
        <v>62</v>
      </c>
      <c r="AQ299" s="30" t="s">
        <v>76</v>
      </c>
      <c r="AR299">
        <v>12.7</v>
      </c>
      <c r="AS299">
        <v>127</v>
      </c>
      <c r="AT299">
        <v>378</v>
      </c>
      <c r="AU299">
        <v>188</v>
      </c>
      <c r="AV299" t="s">
        <v>40</v>
      </c>
      <c r="AW299">
        <v>50</v>
      </c>
      <c r="AX299">
        <v>2</v>
      </c>
      <c r="AY299">
        <v>6.35</v>
      </c>
      <c r="AZ299">
        <v>31.7</v>
      </c>
      <c r="BA299">
        <v>399</v>
      </c>
      <c r="BB299">
        <v>204</v>
      </c>
      <c r="BC299">
        <v>4</v>
      </c>
      <c r="BD299">
        <v>42</v>
      </c>
      <c r="BE299">
        <v>0</v>
      </c>
      <c r="BF299">
        <v>0</v>
      </c>
      <c r="BG299">
        <v>4</v>
      </c>
      <c r="BH299">
        <v>42</v>
      </c>
      <c r="BI299">
        <v>0</v>
      </c>
      <c r="BJ299">
        <v>0</v>
      </c>
      <c r="BK299" s="30">
        <v>38</v>
      </c>
      <c r="BL299" s="30">
        <v>0</v>
      </c>
      <c r="BM299" t="s">
        <v>166</v>
      </c>
      <c r="BN299" t="s">
        <v>40</v>
      </c>
      <c r="BP299" s="30">
        <v>31.7</v>
      </c>
      <c r="BQ299">
        <v>2</v>
      </c>
      <c r="BR299">
        <v>4</v>
      </c>
      <c r="BS299">
        <v>399</v>
      </c>
      <c r="BT299">
        <v>204</v>
      </c>
      <c r="BU299" s="23">
        <v>0.34</v>
      </c>
    </row>
    <row r="300" spans="1:74">
      <c r="A300">
        <v>295</v>
      </c>
      <c r="B300" s="1">
        <v>1</v>
      </c>
      <c r="G300" t="s">
        <v>160</v>
      </c>
      <c r="H300" s="1" t="s">
        <v>139</v>
      </c>
      <c r="I300">
        <v>29</v>
      </c>
      <c r="J300">
        <v>29</v>
      </c>
      <c r="K300">
        <f t="shared" si="128"/>
        <v>29</v>
      </c>
      <c r="L300">
        <v>1400</v>
      </c>
      <c r="M300">
        <v>1400</v>
      </c>
      <c r="N300">
        <v>0</v>
      </c>
      <c r="O300">
        <f t="shared" si="129"/>
        <v>0</v>
      </c>
      <c r="P300">
        <v>240</v>
      </c>
      <c r="Q300">
        <v>240</v>
      </c>
      <c r="R300" t="s">
        <v>62</v>
      </c>
      <c r="S300" s="30" t="s">
        <v>76</v>
      </c>
      <c r="T300">
        <v>12.7</v>
      </c>
      <c r="U300">
        <v>127</v>
      </c>
      <c r="V300" s="1">
        <v>378</v>
      </c>
      <c r="W300" s="1">
        <v>188</v>
      </c>
      <c r="X300" t="s">
        <v>40</v>
      </c>
      <c r="Y300">
        <v>50</v>
      </c>
      <c r="Z300">
        <v>2</v>
      </c>
      <c r="AA300">
        <v>6.35</v>
      </c>
      <c r="AB300">
        <v>31.7</v>
      </c>
      <c r="AC300">
        <v>399</v>
      </c>
      <c r="AD300">
        <v>204</v>
      </c>
      <c r="AE300">
        <v>4</v>
      </c>
      <c r="AF300">
        <v>60</v>
      </c>
      <c r="AG300">
        <v>0</v>
      </c>
      <c r="AH300">
        <v>0</v>
      </c>
      <c r="AI300">
        <v>4</v>
      </c>
      <c r="AJ300">
        <v>60</v>
      </c>
      <c r="AK300">
        <v>0</v>
      </c>
      <c r="AL300">
        <v>0</v>
      </c>
      <c r="AM300" s="30">
        <v>38</v>
      </c>
      <c r="AN300">
        <v>240</v>
      </c>
      <c r="AO300">
        <v>240</v>
      </c>
      <c r="AP300" t="s">
        <v>62</v>
      </c>
      <c r="AQ300" s="30" t="s">
        <v>76</v>
      </c>
      <c r="AR300">
        <v>12.7</v>
      </c>
      <c r="AS300">
        <v>127</v>
      </c>
      <c r="AT300">
        <v>378</v>
      </c>
      <c r="AU300">
        <v>188</v>
      </c>
      <c r="AV300" t="s">
        <v>40</v>
      </c>
      <c r="AW300">
        <v>50</v>
      </c>
      <c r="AX300">
        <v>2</v>
      </c>
      <c r="AY300">
        <v>6.35</v>
      </c>
      <c r="AZ300">
        <v>31.7</v>
      </c>
      <c r="BA300">
        <v>399</v>
      </c>
      <c r="BB300">
        <v>204</v>
      </c>
      <c r="BC300">
        <v>4</v>
      </c>
      <c r="BD300">
        <v>60</v>
      </c>
      <c r="BE300">
        <v>0</v>
      </c>
      <c r="BF300">
        <v>0</v>
      </c>
      <c r="BG300">
        <v>4</v>
      </c>
      <c r="BH300">
        <v>60</v>
      </c>
      <c r="BI300">
        <v>0</v>
      </c>
      <c r="BJ300">
        <v>0</v>
      </c>
      <c r="BK300" s="30">
        <v>38</v>
      </c>
      <c r="BL300" s="30">
        <v>0</v>
      </c>
      <c r="BM300" t="s">
        <v>166</v>
      </c>
      <c r="BN300" t="s">
        <v>40</v>
      </c>
      <c r="BP300" s="30">
        <v>31.7</v>
      </c>
      <c r="BQ300">
        <v>2</v>
      </c>
      <c r="BR300">
        <v>4</v>
      </c>
      <c r="BS300">
        <v>399</v>
      </c>
      <c r="BT300">
        <v>204</v>
      </c>
      <c r="BU300" s="23">
        <v>0.44</v>
      </c>
    </row>
    <row r="301" spans="1:74">
      <c r="A301">
        <v>296</v>
      </c>
      <c r="B301" s="1">
        <v>1</v>
      </c>
      <c r="C301" s="17"/>
      <c r="D301" s="17"/>
      <c r="E301" s="17"/>
      <c r="F301" s="17"/>
      <c r="G301" s="17" t="s">
        <v>160</v>
      </c>
      <c r="H301" s="7" t="s">
        <v>140</v>
      </c>
      <c r="I301" s="17">
        <v>29</v>
      </c>
      <c r="J301" s="17">
        <v>29</v>
      </c>
      <c r="K301" s="17">
        <f t="shared" si="128"/>
        <v>29</v>
      </c>
      <c r="L301" s="17">
        <v>1400</v>
      </c>
      <c r="M301" s="17">
        <v>1400</v>
      </c>
      <c r="N301" s="17">
        <v>0</v>
      </c>
      <c r="O301" s="17">
        <f t="shared" si="129"/>
        <v>0</v>
      </c>
      <c r="P301" s="17">
        <v>240</v>
      </c>
      <c r="Q301" s="17">
        <v>240</v>
      </c>
      <c r="R301" s="17" t="s">
        <v>39</v>
      </c>
      <c r="S301" s="31" t="s">
        <v>243</v>
      </c>
      <c r="T301" s="17">
        <v>15.9</v>
      </c>
      <c r="U301" s="17">
        <v>199</v>
      </c>
      <c r="V301" s="7">
        <v>425</v>
      </c>
      <c r="W301" s="7">
        <v>192</v>
      </c>
      <c r="X301" s="17" t="s">
        <v>40</v>
      </c>
      <c r="Y301" s="17">
        <v>50</v>
      </c>
      <c r="Z301" s="17">
        <v>2</v>
      </c>
      <c r="AA301" s="17">
        <v>6.35</v>
      </c>
      <c r="AB301" s="17">
        <v>31.7</v>
      </c>
      <c r="AC301" s="17">
        <v>399</v>
      </c>
      <c r="AD301" s="17">
        <v>204</v>
      </c>
      <c r="AE301" s="17">
        <v>5</v>
      </c>
      <c r="AF301" s="17">
        <v>42</v>
      </c>
      <c r="AG301" s="17">
        <v>0</v>
      </c>
      <c r="AH301" s="17">
        <v>0</v>
      </c>
      <c r="AI301" s="17">
        <v>5</v>
      </c>
      <c r="AJ301" s="17">
        <v>42</v>
      </c>
      <c r="AK301" s="17">
        <v>0</v>
      </c>
      <c r="AL301" s="17">
        <v>0</v>
      </c>
      <c r="AM301" s="31">
        <v>38</v>
      </c>
      <c r="AN301" s="17">
        <v>240</v>
      </c>
      <c r="AO301" s="17">
        <v>240</v>
      </c>
      <c r="AP301" s="17" t="s">
        <v>39</v>
      </c>
      <c r="AQ301" s="31" t="s">
        <v>243</v>
      </c>
      <c r="AR301" s="17">
        <v>15.9</v>
      </c>
      <c r="AS301" s="17">
        <v>199</v>
      </c>
      <c r="AT301" s="17">
        <v>425</v>
      </c>
      <c r="AU301" s="17">
        <v>192</v>
      </c>
      <c r="AV301" s="17" t="s">
        <v>40</v>
      </c>
      <c r="AW301" s="17">
        <v>50</v>
      </c>
      <c r="AX301" s="17">
        <v>2</v>
      </c>
      <c r="AY301" s="17">
        <v>6.35</v>
      </c>
      <c r="AZ301" s="17">
        <v>31.7</v>
      </c>
      <c r="BA301" s="17">
        <v>399</v>
      </c>
      <c r="BB301" s="17">
        <v>204</v>
      </c>
      <c r="BC301" s="17">
        <v>5</v>
      </c>
      <c r="BD301" s="17">
        <v>42</v>
      </c>
      <c r="BE301" s="17">
        <v>0</v>
      </c>
      <c r="BF301" s="17">
        <v>0</v>
      </c>
      <c r="BG301" s="17">
        <v>5</v>
      </c>
      <c r="BH301" s="17">
        <v>42</v>
      </c>
      <c r="BI301" s="17">
        <v>0</v>
      </c>
      <c r="BJ301" s="17">
        <v>0</v>
      </c>
      <c r="BK301" s="31">
        <v>38</v>
      </c>
      <c r="BL301" s="31">
        <v>0</v>
      </c>
      <c r="BM301" s="17" t="s">
        <v>166</v>
      </c>
      <c r="BN301" s="17" t="s">
        <v>40</v>
      </c>
      <c r="BO301" s="31"/>
      <c r="BP301" s="31">
        <v>31.7</v>
      </c>
      <c r="BQ301" s="17">
        <v>2</v>
      </c>
      <c r="BR301" s="17">
        <v>4</v>
      </c>
      <c r="BS301" s="17">
        <v>399</v>
      </c>
      <c r="BT301" s="17">
        <v>204</v>
      </c>
      <c r="BU301" s="86">
        <v>0.34</v>
      </c>
      <c r="BV301" s="17"/>
    </row>
    <row r="302" spans="1:74">
      <c r="A302">
        <v>297</v>
      </c>
      <c r="B302" s="1">
        <v>1</v>
      </c>
      <c r="G302" t="s">
        <v>160</v>
      </c>
      <c r="H302" s="1" t="s">
        <v>141</v>
      </c>
      <c r="I302">
        <v>29</v>
      </c>
      <c r="J302">
        <v>29</v>
      </c>
      <c r="K302">
        <f t="shared" si="128"/>
        <v>29</v>
      </c>
      <c r="L302">
        <v>1400</v>
      </c>
      <c r="M302">
        <v>1400</v>
      </c>
      <c r="N302">
        <v>0</v>
      </c>
      <c r="O302">
        <f t="shared" si="129"/>
        <v>0</v>
      </c>
      <c r="P302">
        <v>240</v>
      </c>
      <c r="Q302">
        <v>240</v>
      </c>
      <c r="R302" t="s">
        <v>39</v>
      </c>
      <c r="S302" s="30" t="s">
        <v>243</v>
      </c>
      <c r="T302">
        <v>15.9</v>
      </c>
      <c r="U302">
        <v>199</v>
      </c>
      <c r="V302" s="1">
        <v>425</v>
      </c>
      <c r="W302" s="1">
        <v>192</v>
      </c>
      <c r="X302" t="s">
        <v>40</v>
      </c>
      <c r="Y302">
        <v>50</v>
      </c>
      <c r="Z302">
        <v>2</v>
      </c>
      <c r="AA302">
        <v>6.35</v>
      </c>
      <c r="AB302">
        <v>31.7</v>
      </c>
      <c r="AC302">
        <v>399</v>
      </c>
      <c r="AD302">
        <v>204</v>
      </c>
      <c r="AE302">
        <v>5</v>
      </c>
      <c r="AF302">
        <v>60</v>
      </c>
      <c r="AG302">
        <v>0</v>
      </c>
      <c r="AH302">
        <v>0</v>
      </c>
      <c r="AI302">
        <v>5</v>
      </c>
      <c r="AJ302">
        <v>60</v>
      </c>
      <c r="AK302">
        <v>0</v>
      </c>
      <c r="AL302">
        <v>0</v>
      </c>
      <c r="AM302" s="30">
        <v>38</v>
      </c>
      <c r="AN302">
        <v>240</v>
      </c>
      <c r="AO302">
        <v>240</v>
      </c>
      <c r="AP302" t="s">
        <v>39</v>
      </c>
      <c r="AQ302" s="30" t="s">
        <v>243</v>
      </c>
      <c r="AR302">
        <v>15.9</v>
      </c>
      <c r="AS302">
        <v>199</v>
      </c>
      <c r="AT302">
        <v>425</v>
      </c>
      <c r="AU302">
        <v>192</v>
      </c>
      <c r="AV302" t="s">
        <v>40</v>
      </c>
      <c r="AW302">
        <v>50</v>
      </c>
      <c r="AX302">
        <v>2</v>
      </c>
      <c r="AY302">
        <v>6.35</v>
      </c>
      <c r="AZ302">
        <v>31.7</v>
      </c>
      <c r="BA302">
        <v>399</v>
      </c>
      <c r="BB302">
        <v>204</v>
      </c>
      <c r="BC302">
        <v>5</v>
      </c>
      <c r="BD302">
        <v>60</v>
      </c>
      <c r="BE302">
        <v>0</v>
      </c>
      <c r="BF302">
        <v>0</v>
      </c>
      <c r="BG302">
        <v>5</v>
      </c>
      <c r="BH302">
        <v>60</v>
      </c>
      <c r="BI302">
        <v>0</v>
      </c>
      <c r="BJ302">
        <v>0</v>
      </c>
      <c r="BK302" s="30">
        <v>38</v>
      </c>
      <c r="BL302" s="30">
        <v>0</v>
      </c>
      <c r="BM302" t="s">
        <v>166</v>
      </c>
      <c r="BN302" t="s">
        <v>40</v>
      </c>
      <c r="BP302" s="30">
        <v>31.7</v>
      </c>
      <c r="BQ302">
        <v>2</v>
      </c>
      <c r="BR302">
        <v>4</v>
      </c>
      <c r="BS302">
        <v>399</v>
      </c>
      <c r="BT302">
        <v>204</v>
      </c>
      <c r="BU302" s="23">
        <v>0.44</v>
      </c>
    </row>
    <row r="303" spans="1:74">
      <c r="A303">
        <v>298</v>
      </c>
      <c r="B303" s="1">
        <v>1</v>
      </c>
      <c r="G303" t="s">
        <v>160</v>
      </c>
      <c r="H303" s="1" t="s">
        <v>142</v>
      </c>
      <c r="I303">
        <v>31</v>
      </c>
      <c r="J303">
        <v>31</v>
      </c>
      <c r="K303">
        <f t="shared" si="128"/>
        <v>31</v>
      </c>
      <c r="L303">
        <v>1400</v>
      </c>
      <c r="M303">
        <v>1400</v>
      </c>
      <c r="N303">
        <v>0</v>
      </c>
      <c r="O303">
        <f t="shared" si="129"/>
        <v>0</v>
      </c>
      <c r="P303">
        <v>240</v>
      </c>
      <c r="Q303">
        <v>240</v>
      </c>
      <c r="R303" t="s">
        <v>62</v>
      </c>
      <c r="S303" s="30" t="s">
        <v>76</v>
      </c>
      <c r="T303">
        <v>12.7</v>
      </c>
      <c r="U303">
        <v>127</v>
      </c>
      <c r="V303" s="1">
        <v>378</v>
      </c>
      <c r="W303" s="1">
        <v>188</v>
      </c>
      <c r="X303" t="s">
        <v>40</v>
      </c>
      <c r="Y303">
        <v>50</v>
      </c>
      <c r="Z303">
        <v>2</v>
      </c>
      <c r="AA303">
        <v>6.35</v>
      </c>
      <c r="AB303">
        <v>31.7</v>
      </c>
      <c r="AC303">
        <v>399</v>
      </c>
      <c r="AD303">
        <v>204</v>
      </c>
      <c r="AE303">
        <v>3</v>
      </c>
      <c r="AF303">
        <v>24</v>
      </c>
      <c r="AG303">
        <v>2</v>
      </c>
      <c r="AH303">
        <v>36</v>
      </c>
      <c r="AI303">
        <v>3</v>
      </c>
      <c r="AJ303">
        <v>24</v>
      </c>
      <c r="AK303">
        <v>2</v>
      </c>
      <c r="AL303">
        <v>36</v>
      </c>
      <c r="AM303" s="30">
        <v>38</v>
      </c>
      <c r="AN303">
        <v>240</v>
      </c>
      <c r="AO303">
        <v>240</v>
      </c>
      <c r="AP303" t="s">
        <v>62</v>
      </c>
      <c r="AQ303" s="30" t="s">
        <v>76</v>
      </c>
      <c r="AR303">
        <v>12.7</v>
      </c>
      <c r="AS303">
        <v>127</v>
      </c>
      <c r="AT303">
        <v>378</v>
      </c>
      <c r="AU303">
        <v>188</v>
      </c>
      <c r="AV303" t="s">
        <v>40</v>
      </c>
      <c r="AW303">
        <v>50</v>
      </c>
      <c r="AX303">
        <v>2</v>
      </c>
      <c r="AY303">
        <v>6.35</v>
      </c>
      <c r="AZ303">
        <v>31.7</v>
      </c>
      <c r="BA303">
        <v>399</v>
      </c>
      <c r="BB303">
        <v>204</v>
      </c>
      <c r="BC303">
        <v>5</v>
      </c>
      <c r="BD303">
        <v>24</v>
      </c>
      <c r="BE303">
        <v>0</v>
      </c>
      <c r="BF303">
        <v>0</v>
      </c>
      <c r="BG303">
        <v>5</v>
      </c>
      <c r="BH303">
        <v>24</v>
      </c>
      <c r="BI303">
        <v>0</v>
      </c>
      <c r="BJ303">
        <v>0</v>
      </c>
      <c r="BK303" s="30">
        <v>24</v>
      </c>
      <c r="BL303" s="30">
        <v>0</v>
      </c>
      <c r="BM303" t="s">
        <v>166</v>
      </c>
      <c r="BN303" t="s">
        <v>40</v>
      </c>
      <c r="BP303" s="30">
        <v>31.7</v>
      </c>
      <c r="BQ303">
        <v>2</v>
      </c>
      <c r="BR303">
        <v>4</v>
      </c>
      <c r="BS303">
        <v>399</v>
      </c>
      <c r="BT303">
        <v>204</v>
      </c>
      <c r="BU303" s="23">
        <v>0.33</v>
      </c>
    </row>
    <row r="304" spans="1:74">
      <c r="A304">
        <v>299</v>
      </c>
      <c r="B304" s="1">
        <v>1</v>
      </c>
      <c r="G304" t="s">
        <v>160</v>
      </c>
      <c r="H304" s="1" t="s">
        <v>143</v>
      </c>
      <c r="I304">
        <v>31</v>
      </c>
      <c r="J304">
        <v>31</v>
      </c>
      <c r="K304">
        <f t="shared" si="128"/>
        <v>31</v>
      </c>
      <c r="L304">
        <v>1400</v>
      </c>
      <c r="M304">
        <v>1400</v>
      </c>
      <c r="N304">
        <v>0</v>
      </c>
      <c r="O304">
        <f t="shared" si="129"/>
        <v>0</v>
      </c>
      <c r="P304">
        <v>120</v>
      </c>
      <c r="Q304">
        <v>240</v>
      </c>
      <c r="R304" t="s">
        <v>62</v>
      </c>
      <c r="S304" s="30" t="s">
        <v>76</v>
      </c>
      <c r="T304">
        <v>12.7</v>
      </c>
      <c r="U304">
        <v>127</v>
      </c>
      <c r="V304" s="1">
        <v>378</v>
      </c>
      <c r="W304" s="1">
        <v>188</v>
      </c>
      <c r="X304" t="s">
        <v>40</v>
      </c>
      <c r="Y304">
        <v>50</v>
      </c>
      <c r="Z304">
        <v>2</v>
      </c>
      <c r="AA304">
        <v>6.35</v>
      </c>
      <c r="AB304">
        <v>31.7</v>
      </c>
      <c r="AC304">
        <v>399</v>
      </c>
      <c r="AD304">
        <v>204</v>
      </c>
      <c r="AE304">
        <v>3</v>
      </c>
      <c r="AF304">
        <v>24</v>
      </c>
      <c r="AG304">
        <v>2</v>
      </c>
      <c r="AH304">
        <v>36</v>
      </c>
      <c r="AI304">
        <v>3</v>
      </c>
      <c r="AJ304">
        <v>24</v>
      </c>
      <c r="AK304">
        <v>2</v>
      </c>
      <c r="AL304">
        <v>36</v>
      </c>
      <c r="AM304" s="30">
        <v>22</v>
      </c>
      <c r="AN304">
        <v>240</v>
      </c>
      <c r="AO304">
        <v>240</v>
      </c>
      <c r="AP304" t="s">
        <v>62</v>
      </c>
      <c r="AQ304" s="30" t="s">
        <v>76</v>
      </c>
      <c r="AR304">
        <v>12.7</v>
      </c>
      <c r="AS304">
        <v>127</v>
      </c>
      <c r="AT304">
        <v>378</v>
      </c>
      <c r="AU304">
        <v>188</v>
      </c>
      <c r="AV304" t="s">
        <v>40</v>
      </c>
      <c r="AW304">
        <v>50</v>
      </c>
      <c r="AX304">
        <v>2</v>
      </c>
      <c r="AY304">
        <v>6.35</v>
      </c>
      <c r="AZ304">
        <v>31.7</v>
      </c>
      <c r="BA304">
        <v>399</v>
      </c>
      <c r="BB304">
        <v>204</v>
      </c>
      <c r="BC304">
        <v>5</v>
      </c>
      <c r="BD304">
        <v>24</v>
      </c>
      <c r="BE304">
        <v>0</v>
      </c>
      <c r="BF304">
        <v>0</v>
      </c>
      <c r="BG304">
        <v>5</v>
      </c>
      <c r="BH304">
        <v>24</v>
      </c>
      <c r="BI304">
        <v>0</v>
      </c>
      <c r="BJ304">
        <v>0</v>
      </c>
      <c r="BK304" s="30">
        <v>24</v>
      </c>
      <c r="BL304" s="30">
        <v>0</v>
      </c>
      <c r="BM304" t="s">
        <v>166</v>
      </c>
      <c r="BN304" t="s">
        <v>40</v>
      </c>
      <c r="BP304" s="30">
        <v>31.7</v>
      </c>
      <c r="BQ304">
        <v>2</v>
      </c>
      <c r="BR304">
        <v>4</v>
      </c>
      <c r="BS304">
        <v>399</v>
      </c>
      <c r="BT304">
        <v>204</v>
      </c>
      <c r="BU304" s="23">
        <v>0.33</v>
      </c>
    </row>
    <row r="305" spans="1:74">
      <c r="A305">
        <v>300</v>
      </c>
      <c r="B305" s="1">
        <v>1</v>
      </c>
      <c r="G305" t="s">
        <v>160</v>
      </c>
      <c r="H305" s="1" t="s">
        <v>144</v>
      </c>
      <c r="I305">
        <v>32.4</v>
      </c>
      <c r="J305">
        <v>32.4</v>
      </c>
      <c r="K305">
        <f t="shared" si="128"/>
        <v>32.4</v>
      </c>
      <c r="L305">
        <v>1400</v>
      </c>
      <c r="M305">
        <v>1400</v>
      </c>
      <c r="N305">
        <v>0</v>
      </c>
      <c r="O305">
        <f t="shared" si="129"/>
        <v>0</v>
      </c>
      <c r="P305">
        <v>240</v>
      </c>
      <c r="Q305">
        <v>170</v>
      </c>
      <c r="R305" t="s">
        <v>62</v>
      </c>
      <c r="S305" s="30" t="s">
        <v>76</v>
      </c>
      <c r="T305">
        <v>12.7</v>
      </c>
      <c r="U305">
        <v>127</v>
      </c>
      <c r="V305" s="1">
        <v>378</v>
      </c>
      <c r="W305" s="1">
        <v>188</v>
      </c>
      <c r="X305" t="s">
        <v>40</v>
      </c>
      <c r="Y305">
        <v>50</v>
      </c>
      <c r="Z305">
        <v>2</v>
      </c>
      <c r="AA305">
        <v>6.35</v>
      </c>
      <c r="AB305">
        <v>31.7</v>
      </c>
      <c r="AC305">
        <v>341</v>
      </c>
      <c r="AD305">
        <v>196</v>
      </c>
      <c r="AE305">
        <v>5</v>
      </c>
      <c r="AF305">
        <v>24</v>
      </c>
      <c r="AG305">
        <v>0</v>
      </c>
      <c r="AH305">
        <v>0</v>
      </c>
      <c r="AI305">
        <v>5</v>
      </c>
      <c r="AJ305">
        <v>24</v>
      </c>
      <c r="AK305">
        <v>0</v>
      </c>
      <c r="AL305">
        <v>0</v>
      </c>
      <c r="AM305" s="30">
        <v>38</v>
      </c>
      <c r="AN305">
        <v>240</v>
      </c>
      <c r="AO305">
        <v>340</v>
      </c>
      <c r="AP305" t="s">
        <v>62</v>
      </c>
      <c r="AQ305" s="30" t="s">
        <v>76</v>
      </c>
      <c r="AR305">
        <v>12.7</v>
      </c>
      <c r="AS305">
        <v>127</v>
      </c>
      <c r="AT305">
        <v>378</v>
      </c>
      <c r="AU305">
        <v>188</v>
      </c>
      <c r="AV305" t="s">
        <v>40</v>
      </c>
      <c r="AW305">
        <v>50</v>
      </c>
      <c r="AX305">
        <v>2</v>
      </c>
      <c r="AY305">
        <v>6.35</v>
      </c>
      <c r="AZ305">
        <v>31.7</v>
      </c>
      <c r="BA305">
        <v>341</v>
      </c>
      <c r="BB305">
        <v>196</v>
      </c>
      <c r="BC305">
        <v>2</v>
      </c>
      <c r="BD305">
        <v>24</v>
      </c>
      <c r="BE305">
        <v>0</v>
      </c>
      <c r="BF305">
        <v>0</v>
      </c>
      <c r="BG305">
        <v>2</v>
      </c>
      <c r="BH305">
        <v>24</v>
      </c>
      <c r="BI305">
        <v>0</v>
      </c>
      <c r="BJ305">
        <v>0</v>
      </c>
      <c r="BK305" s="30">
        <v>24</v>
      </c>
      <c r="BL305" s="30">
        <v>0</v>
      </c>
      <c r="BM305" t="s">
        <v>166</v>
      </c>
      <c r="BN305" t="s">
        <v>40</v>
      </c>
      <c r="BP305" s="30">
        <v>31.7</v>
      </c>
      <c r="BQ305">
        <v>2</v>
      </c>
      <c r="BR305">
        <v>4</v>
      </c>
      <c r="BS305">
        <v>399</v>
      </c>
      <c r="BT305">
        <v>204</v>
      </c>
      <c r="BU305" s="23">
        <v>0.44</v>
      </c>
    </row>
    <row r="306" spans="1:74">
      <c r="A306">
        <v>301</v>
      </c>
      <c r="B306" s="1">
        <v>1</v>
      </c>
      <c r="G306" t="s">
        <v>160</v>
      </c>
      <c r="H306" s="1" t="s">
        <v>145</v>
      </c>
      <c r="I306">
        <v>32.4</v>
      </c>
      <c r="J306">
        <v>32.4</v>
      </c>
      <c r="K306">
        <f t="shared" si="128"/>
        <v>32.4</v>
      </c>
      <c r="L306">
        <v>1400</v>
      </c>
      <c r="M306">
        <v>1400</v>
      </c>
      <c r="N306">
        <v>0</v>
      </c>
      <c r="O306">
        <f t="shared" si="129"/>
        <v>0</v>
      </c>
      <c r="P306">
        <v>240</v>
      </c>
      <c r="Q306">
        <v>170</v>
      </c>
      <c r="R306" t="s">
        <v>62</v>
      </c>
      <c r="S306" s="30" t="s">
        <v>76</v>
      </c>
      <c r="T306">
        <v>12.7</v>
      </c>
      <c r="U306">
        <v>127</v>
      </c>
      <c r="V306" s="1">
        <v>378</v>
      </c>
      <c r="W306" s="1">
        <v>188</v>
      </c>
      <c r="X306" t="s">
        <v>40</v>
      </c>
      <c r="Y306">
        <v>50</v>
      </c>
      <c r="Z306">
        <v>2</v>
      </c>
      <c r="AA306">
        <v>6.35</v>
      </c>
      <c r="AB306">
        <v>31.7</v>
      </c>
      <c r="AC306">
        <v>341</v>
      </c>
      <c r="AD306">
        <v>196</v>
      </c>
      <c r="AE306">
        <v>5</v>
      </c>
      <c r="AF306">
        <v>24</v>
      </c>
      <c r="AG306">
        <v>0</v>
      </c>
      <c r="AH306">
        <v>0</v>
      </c>
      <c r="AI306">
        <v>5</v>
      </c>
      <c r="AJ306">
        <v>24</v>
      </c>
      <c r="AK306">
        <v>0</v>
      </c>
      <c r="AL306">
        <v>0</v>
      </c>
      <c r="AM306" s="30">
        <v>38</v>
      </c>
      <c r="AN306">
        <v>240</v>
      </c>
      <c r="AO306">
        <v>340</v>
      </c>
      <c r="AP306" t="s">
        <v>62</v>
      </c>
      <c r="AQ306" s="30" t="s">
        <v>76</v>
      </c>
      <c r="AR306">
        <v>12.7</v>
      </c>
      <c r="AS306">
        <v>127</v>
      </c>
      <c r="AT306">
        <v>378</v>
      </c>
      <c r="AU306">
        <v>188</v>
      </c>
      <c r="AV306" t="s">
        <v>40</v>
      </c>
      <c r="AW306">
        <v>50</v>
      </c>
      <c r="AX306">
        <v>2</v>
      </c>
      <c r="AY306">
        <v>6.35</v>
      </c>
      <c r="AZ306">
        <v>31.7</v>
      </c>
      <c r="BA306">
        <v>341</v>
      </c>
      <c r="BB306">
        <v>196</v>
      </c>
      <c r="BC306">
        <v>3</v>
      </c>
      <c r="BD306">
        <v>24</v>
      </c>
      <c r="BE306">
        <v>0</v>
      </c>
      <c r="BF306">
        <v>0</v>
      </c>
      <c r="BG306">
        <v>3</v>
      </c>
      <c r="BH306">
        <v>24</v>
      </c>
      <c r="BI306">
        <v>0</v>
      </c>
      <c r="BJ306">
        <v>0</v>
      </c>
      <c r="BK306" s="30">
        <v>24</v>
      </c>
      <c r="BL306" s="30">
        <v>0</v>
      </c>
      <c r="BM306" t="s">
        <v>166</v>
      </c>
      <c r="BN306" t="s">
        <v>40</v>
      </c>
      <c r="BP306" s="30">
        <v>31.7</v>
      </c>
      <c r="BQ306">
        <v>2</v>
      </c>
      <c r="BR306">
        <v>4</v>
      </c>
      <c r="BS306">
        <v>399</v>
      </c>
      <c r="BT306">
        <v>204</v>
      </c>
      <c r="BU306" s="23">
        <v>0.44</v>
      </c>
    </row>
    <row r="307" spans="1:74">
      <c r="A307">
        <v>302</v>
      </c>
      <c r="B307" s="1">
        <v>1</v>
      </c>
      <c r="G307" t="s">
        <v>160</v>
      </c>
      <c r="H307" s="1" t="s">
        <v>146</v>
      </c>
      <c r="I307">
        <v>32.4</v>
      </c>
      <c r="J307">
        <v>32.4</v>
      </c>
      <c r="K307">
        <f t="shared" si="128"/>
        <v>32.4</v>
      </c>
      <c r="L307">
        <v>1400</v>
      </c>
      <c r="M307">
        <v>1400</v>
      </c>
      <c r="N307">
        <v>0</v>
      </c>
      <c r="O307">
        <f t="shared" si="129"/>
        <v>0</v>
      </c>
      <c r="P307">
        <v>240</v>
      </c>
      <c r="Q307">
        <v>170</v>
      </c>
      <c r="R307" t="s">
        <v>62</v>
      </c>
      <c r="S307" s="30" t="s">
        <v>76</v>
      </c>
      <c r="T307">
        <v>12.7</v>
      </c>
      <c r="U307">
        <v>127</v>
      </c>
      <c r="V307" s="1">
        <v>378</v>
      </c>
      <c r="W307" s="1">
        <v>188</v>
      </c>
      <c r="X307" t="s">
        <v>40</v>
      </c>
      <c r="Y307">
        <v>50</v>
      </c>
      <c r="Z307">
        <v>2</v>
      </c>
      <c r="AA307">
        <v>6.35</v>
      </c>
      <c r="AB307">
        <v>31.7</v>
      </c>
      <c r="AC307">
        <v>341</v>
      </c>
      <c r="AD307">
        <v>196</v>
      </c>
      <c r="AE307">
        <v>5</v>
      </c>
      <c r="AF307">
        <v>24</v>
      </c>
      <c r="AG307">
        <v>0</v>
      </c>
      <c r="AH307">
        <v>0</v>
      </c>
      <c r="AI307">
        <v>5</v>
      </c>
      <c r="AJ307">
        <v>24</v>
      </c>
      <c r="AK307">
        <v>0</v>
      </c>
      <c r="AL307">
        <v>0</v>
      </c>
      <c r="AM307" s="30">
        <v>38</v>
      </c>
      <c r="AN307">
        <v>240</v>
      </c>
      <c r="AO307">
        <v>340</v>
      </c>
      <c r="AP307" t="s">
        <v>62</v>
      </c>
      <c r="AQ307" s="30" t="s">
        <v>76</v>
      </c>
      <c r="AR307">
        <v>12.7</v>
      </c>
      <c r="AS307">
        <v>127</v>
      </c>
      <c r="AT307">
        <v>378</v>
      </c>
      <c r="AU307">
        <v>188</v>
      </c>
      <c r="AV307" t="s">
        <v>40</v>
      </c>
      <c r="AW307">
        <v>50</v>
      </c>
      <c r="AX307">
        <v>2</v>
      </c>
      <c r="AY307">
        <v>6.35</v>
      </c>
      <c r="AZ307">
        <v>31.7</v>
      </c>
      <c r="BA307">
        <v>341</v>
      </c>
      <c r="BB307">
        <v>196</v>
      </c>
      <c r="BC307">
        <v>5</v>
      </c>
      <c r="BD307">
        <v>24</v>
      </c>
      <c r="BE307">
        <v>0</v>
      </c>
      <c r="BF307">
        <v>0</v>
      </c>
      <c r="BG307">
        <v>5</v>
      </c>
      <c r="BH307">
        <v>24</v>
      </c>
      <c r="BI307">
        <v>0</v>
      </c>
      <c r="BJ307">
        <v>0</v>
      </c>
      <c r="BK307" s="30">
        <v>24</v>
      </c>
      <c r="BL307" s="30">
        <v>0</v>
      </c>
      <c r="BM307" t="s">
        <v>166</v>
      </c>
      <c r="BN307" t="s">
        <v>40</v>
      </c>
      <c r="BP307" s="30">
        <v>31.7</v>
      </c>
      <c r="BQ307">
        <v>2</v>
      </c>
      <c r="BR307">
        <v>4</v>
      </c>
      <c r="BS307">
        <v>399</v>
      </c>
      <c r="BT307">
        <v>204</v>
      </c>
      <c r="BU307" s="23">
        <v>0.44</v>
      </c>
    </row>
    <row r="308" spans="1:74">
      <c r="A308">
        <v>303</v>
      </c>
      <c r="B308" s="1">
        <v>1</v>
      </c>
      <c r="G308" t="s">
        <v>160</v>
      </c>
      <c r="H308" s="1" t="s">
        <v>147</v>
      </c>
      <c r="I308">
        <v>32.4</v>
      </c>
      <c r="J308">
        <v>32.4</v>
      </c>
      <c r="K308">
        <f t="shared" si="128"/>
        <v>32.4</v>
      </c>
      <c r="L308">
        <v>1400</v>
      </c>
      <c r="M308">
        <v>1400</v>
      </c>
      <c r="N308">
        <v>0</v>
      </c>
      <c r="O308">
        <f t="shared" si="129"/>
        <v>0</v>
      </c>
      <c r="P308">
        <v>240</v>
      </c>
      <c r="Q308">
        <v>170</v>
      </c>
      <c r="R308" t="s">
        <v>62</v>
      </c>
      <c r="S308" s="30" t="s">
        <v>76</v>
      </c>
      <c r="T308">
        <v>12.7</v>
      </c>
      <c r="U308">
        <v>127</v>
      </c>
      <c r="V308" s="1">
        <v>378</v>
      </c>
      <c r="W308" s="1">
        <v>188</v>
      </c>
      <c r="X308" t="s">
        <v>40</v>
      </c>
      <c r="Y308">
        <v>50</v>
      </c>
      <c r="Z308">
        <v>2</v>
      </c>
      <c r="AA308">
        <v>6.35</v>
      </c>
      <c r="AB308">
        <v>31.7</v>
      </c>
      <c r="AC308">
        <v>341</v>
      </c>
      <c r="AD308">
        <v>196</v>
      </c>
      <c r="AE308">
        <v>7</v>
      </c>
      <c r="AF308">
        <v>24</v>
      </c>
      <c r="AG308">
        <v>0</v>
      </c>
      <c r="AH308">
        <v>0</v>
      </c>
      <c r="AI308">
        <v>7</v>
      </c>
      <c r="AJ308">
        <v>24</v>
      </c>
      <c r="AK308">
        <v>0</v>
      </c>
      <c r="AL308">
        <v>0</v>
      </c>
      <c r="AM308" s="30">
        <v>38</v>
      </c>
      <c r="AN308">
        <v>240</v>
      </c>
      <c r="AO308">
        <v>340</v>
      </c>
      <c r="AP308" t="s">
        <v>62</v>
      </c>
      <c r="AQ308" s="30" t="s">
        <v>76</v>
      </c>
      <c r="AR308">
        <v>12.7</v>
      </c>
      <c r="AS308">
        <v>127</v>
      </c>
      <c r="AT308">
        <v>378</v>
      </c>
      <c r="AU308">
        <v>188</v>
      </c>
      <c r="AV308" t="s">
        <v>40</v>
      </c>
      <c r="AW308">
        <v>50</v>
      </c>
      <c r="AX308">
        <v>2</v>
      </c>
      <c r="AY308">
        <v>6.35</v>
      </c>
      <c r="AZ308">
        <v>31.7</v>
      </c>
      <c r="BA308">
        <v>341</v>
      </c>
      <c r="BB308">
        <v>196</v>
      </c>
      <c r="BC308">
        <v>2</v>
      </c>
      <c r="BD308">
        <v>24</v>
      </c>
      <c r="BE308">
        <v>0</v>
      </c>
      <c r="BF308">
        <v>0</v>
      </c>
      <c r="BG308">
        <v>2</v>
      </c>
      <c r="BH308">
        <v>24</v>
      </c>
      <c r="BI308">
        <v>0</v>
      </c>
      <c r="BJ308">
        <v>0</v>
      </c>
      <c r="BK308" s="30">
        <v>24</v>
      </c>
      <c r="BL308" s="30">
        <v>0</v>
      </c>
      <c r="BM308" t="s">
        <v>166</v>
      </c>
      <c r="BN308" t="s">
        <v>40</v>
      </c>
      <c r="BP308" s="30">
        <v>31.7</v>
      </c>
      <c r="BQ308">
        <v>2</v>
      </c>
      <c r="BR308">
        <v>4</v>
      </c>
      <c r="BS308">
        <v>399</v>
      </c>
      <c r="BT308">
        <v>204</v>
      </c>
      <c r="BU308" s="23">
        <v>0.44</v>
      </c>
    </row>
    <row r="309" spans="1:74">
      <c r="A309">
        <v>304</v>
      </c>
      <c r="B309" s="1">
        <v>1</v>
      </c>
      <c r="G309" t="s">
        <v>160</v>
      </c>
      <c r="H309" s="1" t="s">
        <v>148</v>
      </c>
      <c r="I309">
        <v>32.4</v>
      </c>
      <c r="J309">
        <v>32.4</v>
      </c>
      <c r="K309">
        <f t="shared" si="128"/>
        <v>32.4</v>
      </c>
      <c r="L309">
        <v>1400</v>
      </c>
      <c r="M309">
        <v>1400</v>
      </c>
      <c r="N309">
        <v>0</v>
      </c>
      <c r="O309">
        <f t="shared" si="129"/>
        <v>0</v>
      </c>
      <c r="P309">
        <v>240</v>
      </c>
      <c r="Q309">
        <v>170</v>
      </c>
      <c r="R309" t="s">
        <v>62</v>
      </c>
      <c r="S309" s="30" t="s">
        <v>76</v>
      </c>
      <c r="T309">
        <v>12.7</v>
      </c>
      <c r="U309">
        <v>127</v>
      </c>
      <c r="V309" s="1">
        <v>378</v>
      </c>
      <c r="W309" s="1">
        <v>188</v>
      </c>
      <c r="X309" t="s">
        <v>40</v>
      </c>
      <c r="Y309">
        <v>50</v>
      </c>
      <c r="Z309">
        <v>2</v>
      </c>
      <c r="AA309">
        <v>6.35</v>
      </c>
      <c r="AB309">
        <v>31.7</v>
      </c>
      <c r="AC309">
        <v>341</v>
      </c>
      <c r="AD309">
        <v>196</v>
      </c>
      <c r="AE309">
        <v>7</v>
      </c>
      <c r="AF309">
        <v>24</v>
      </c>
      <c r="AG309">
        <v>0</v>
      </c>
      <c r="AH309">
        <v>0</v>
      </c>
      <c r="AI309">
        <v>7</v>
      </c>
      <c r="AJ309">
        <v>24</v>
      </c>
      <c r="AK309">
        <v>0</v>
      </c>
      <c r="AL309">
        <v>0</v>
      </c>
      <c r="AM309" s="30">
        <v>38</v>
      </c>
      <c r="AN309">
        <v>240</v>
      </c>
      <c r="AO309">
        <v>340</v>
      </c>
      <c r="AP309" t="s">
        <v>62</v>
      </c>
      <c r="AQ309" s="30" t="s">
        <v>76</v>
      </c>
      <c r="AR309">
        <v>12.7</v>
      </c>
      <c r="AS309">
        <v>127</v>
      </c>
      <c r="AT309">
        <v>378</v>
      </c>
      <c r="AU309">
        <v>188</v>
      </c>
      <c r="AV309" t="s">
        <v>40</v>
      </c>
      <c r="AW309">
        <v>50</v>
      </c>
      <c r="AX309">
        <v>2</v>
      </c>
      <c r="AY309">
        <v>6.35</v>
      </c>
      <c r="AZ309">
        <v>31.7</v>
      </c>
      <c r="BA309">
        <v>341</v>
      </c>
      <c r="BB309">
        <v>196</v>
      </c>
      <c r="BC309">
        <v>3</v>
      </c>
      <c r="BD309">
        <v>24</v>
      </c>
      <c r="BE309">
        <v>0</v>
      </c>
      <c r="BF309">
        <v>0</v>
      </c>
      <c r="BG309">
        <v>3</v>
      </c>
      <c r="BH309">
        <v>24</v>
      </c>
      <c r="BI309">
        <v>0</v>
      </c>
      <c r="BJ309">
        <v>0</v>
      </c>
      <c r="BK309" s="30">
        <v>24</v>
      </c>
      <c r="BL309" s="30">
        <v>0</v>
      </c>
      <c r="BM309" t="s">
        <v>166</v>
      </c>
      <c r="BN309" t="s">
        <v>40</v>
      </c>
      <c r="BP309" s="30">
        <v>31.7</v>
      </c>
      <c r="BQ309">
        <v>2</v>
      </c>
      <c r="BR309">
        <v>4</v>
      </c>
      <c r="BS309">
        <v>399</v>
      </c>
      <c r="BT309">
        <v>204</v>
      </c>
      <c r="BU309" s="23">
        <v>0.44</v>
      </c>
    </row>
    <row r="310" spans="1:74">
      <c r="A310">
        <v>305</v>
      </c>
      <c r="B310" s="1">
        <v>1</v>
      </c>
      <c r="G310" t="s">
        <v>160</v>
      </c>
      <c r="H310" s="1" t="s">
        <v>149</v>
      </c>
      <c r="I310">
        <v>32.4</v>
      </c>
      <c r="J310">
        <v>32.4</v>
      </c>
      <c r="K310">
        <f t="shared" si="128"/>
        <v>32.4</v>
      </c>
      <c r="L310">
        <v>1400</v>
      </c>
      <c r="M310">
        <v>1400</v>
      </c>
      <c r="N310">
        <v>0</v>
      </c>
      <c r="O310">
        <f t="shared" si="129"/>
        <v>0</v>
      </c>
      <c r="P310">
        <v>240</v>
      </c>
      <c r="Q310">
        <v>170</v>
      </c>
      <c r="R310" t="s">
        <v>62</v>
      </c>
      <c r="S310" s="30" t="s">
        <v>76</v>
      </c>
      <c r="T310">
        <v>12.7</v>
      </c>
      <c r="U310">
        <v>127</v>
      </c>
      <c r="V310" s="1">
        <v>378</v>
      </c>
      <c r="W310" s="1">
        <v>188</v>
      </c>
      <c r="X310" t="s">
        <v>40</v>
      </c>
      <c r="Y310">
        <v>50</v>
      </c>
      <c r="Z310">
        <v>2</v>
      </c>
      <c r="AA310">
        <v>6.35</v>
      </c>
      <c r="AB310">
        <v>31.7</v>
      </c>
      <c r="AC310">
        <v>341</v>
      </c>
      <c r="AD310">
        <v>196</v>
      </c>
      <c r="AE310">
        <v>7</v>
      </c>
      <c r="AF310">
        <v>24</v>
      </c>
      <c r="AG310">
        <v>0</v>
      </c>
      <c r="AH310">
        <v>0</v>
      </c>
      <c r="AI310">
        <v>7</v>
      </c>
      <c r="AJ310">
        <v>24</v>
      </c>
      <c r="AK310">
        <v>0</v>
      </c>
      <c r="AL310">
        <v>0</v>
      </c>
      <c r="AM310" s="30">
        <v>38</v>
      </c>
      <c r="AN310">
        <v>240</v>
      </c>
      <c r="AO310">
        <v>340</v>
      </c>
      <c r="AP310" t="s">
        <v>62</v>
      </c>
      <c r="AQ310" s="30" t="s">
        <v>76</v>
      </c>
      <c r="AR310">
        <v>12.7</v>
      </c>
      <c r="AS310">
        <v>127</v>
      </c>
      <c r="AT310">
        <v>378</v>
      </c>
      <c r="AU310">
        <v>188</v>
      </c>
      <c r="AV310" t="s">
        <v>40</v>
      </c>
      <c r="AW310">
        <v>50</v>
      </c>
      <c r="AX310">
        <v>2</v>
      </c>
      <c r="AY310">
        <v>6.35</v>
      </c>
      <c r="AZ310">
        <v>31.7</v>
      </c>
      <c r="BA310">
        <v>341</v>
      </c>
      <c r="BB310">
        <v>196</v>
      </c>
      <c r="BC310">
        <v>4</v>
      </c>
      <c r="BD310">
        <v>24</v>
      </c>
      <c r="BE310">
        <v>0</v>
      </c>
      <c r="BF310">
        <v>0</v>
      </c>
      <c r="BG310">
        <v>4</v>
      </c>
      <c r="BH310">
        <v>24</v>
      </c>
      <c r="BI310">
        <v>0</v>
      </c>
      <c r="BJ310">
        <v>0</v>
      </c>
      <c r="BK310" s="30">
        <v>24</v>
      </c>
      <c r="BL310" s="30">
        <v>0</v>
      </c>
      <c r="BM310" t="s">
        <v>166</v>
      </c>
      <c r="BN310" t="s">
        <v>40</v>
      </c>
      <c r="BP310" s="30">
        <v>31.7</v>
      </c>
      <c r="BQ310">
        <v>2</v>
      </c>
      <c r="BR310">
        <v>4</v>
      </c>
      <c r="BS310">
        <v>399</v>
      </c>
      <c r="BT310">
        <v>204</v>
      </c>
      <c r="BU310" s="23">
        <v>0.44</v>
      </c>
    </row>
    <row r="311" spans="1:74">
      <c r="A311">
        <v>306</v>
      </c>
      <c r="B311" s="1">
        <v>1</v>
      </c>
      <c r="G311" t="s">
        <v>160</v>
      </c>
      <c r="H311" s="1" t="s">
        <v>150</v>
      </c>
      <c r="I311">
        <v>32.4</v>
      </c>
      <c r="J311">
        <v>32.4</v>
      </c>
      <c r="K311">
        <f t="shared" si="128"/>
        <v>32.4</v>
      </c>
      <c r="L311">
        <v>1400</v>
      </c>
      <c r="M311">
        <v>1400</v>
      </c>
      <c r="N311">
        <v>0</v>
      </c>
      <c r="O311">
        <f t="shared" si="129"/>
        <v>0</v>
      </c>
      <c r="P311">
        <v>240</v>
      </c>
      <c r="Q311">
        <v>170</v>
      </c>
      <c r="R311" t="s">
        <v>62</v>
      </c>
      <c r="S311" s="30" t="s">
        <v>76</v>
      </c>
      <c r="T311">
        <v>12.7</v>
      </c>
      <c r="U311">
        <v>127</v>
      </c>
      <c r="V311" s="1">
        <v>378</v>
      </c>
      <c r="W311" s="1">
        <v>188</v>
      </c>
      <c r="X311" t="s">
        <v>40</v>
      </c>
      <c r="Y311">
        <v>50</v>
      </c>
      <c r="Z311">
        <v>2</v>
      </c>
      <c r="AA311">
        <v>6.35</v>
      </c>
      <c r="AB311">
        <v>31.7</v>
      </c>
      <c r="AC311">
        <v>341</v>
      </c>
      <c r="AD311">
        <v>196</v>
      </c>
      <c r="AE311">
        <v>7</v>
      </c>
      <c r="AF311">
        <v>24</v>
      </c>
      <c r="AG311">
        <v>0</v>
      </c>
      <c r="AH311">
        <v>0</v>
      </c>
      <c r="AI311">
        <v>7</v>
      </c>
      <c r="AJ311">
        <v>24</v>
      </c>
      <c r="AK311">
        <v>0</v>
      </c>
      <c r="AL311">
        <v>0</v>
      </c>
      <c r="AM311" s="30">
        <v>38</v>
      </c>
      <c r="AN311">
        <v>240</v>
      </c>
      <c r="AO311">
        <v>340</v>
      </c>
      <c r="AP311" t="s">
        <v>62</v>
      </c>
      <c r="AQ311" s="30" t="s">
        <v>76</v>
      </c>
      <c r="AR311">
        <v>12.7</v>
      </c>
      <c r="AS311">
        <v>127</v>
      </c>
      <c r="AT311">
        <v>378</v>
      </c>
      <c r="AU311">
        <v>188</v>
      </c>
      <c r="AV311" t="s">
        <v>40</v>
      </c>
      <c r="AW311">
        <v>50</v>
      </c>
      <c r="AX311">
        <v>2</v>
      </c>
      <c r="AY311">
        <v>6.35</v>
      </c>
      <c r="AZ311">
        <v>31.7</v>
      </c>
      <c r="BA311">
        <v>341</v>
      </c>
      <c r="BB311">
        <v>196</v>
      </c>
      <c r="BC311">
        <v>4</v>
      </c>
      <c r="BD311">
        <v>24</v>
      </c>
      <c r="BE311">
        <v>2</v>
      </c>
      <c r="BF311">
        <v>36</v>
      </c>
      <c r="BG311">
        <v>4</v>
      </c>
      <c r="BH311">
        <v>24</v>
      </c>
      <c r="BI311">
        <v>2</v>
      </c>
      <c r="BJ311">
        <v>36</v>
      </c>
      <c r="BK311" s="30">
        <v>24</v>
      </c>
      <c r="BL311" s="30">
        <v>0</v>
      </c>
      <c r="BM311" t="s">
        <v>166</v>
      </c>
      <c r="BN311" t="s">
        <v>40</v>
      </c>
      <c r="BP311" s="30">
        <v>31.7</v>
      </c>
      <c r="BQ311">
        <v>2</v>
      </c>
      <c r="BR311">
        <v>4</v>
      </c>
      <c r="BS311">
        <v>399</v>
      </c>
      <c r="BT311">
        <v>204</v>
      </c>
      <c r="BU311" s="23">
        <v>0.44</v>
      </c>
    </row>
    <row r="312" spans="1:74">
      <c r="A312">
        <v>307</v>
      </c>
      <c r="B312" s="1">
        <v>1</v>
      </c>
      <c r="G312" t="s">
        <v>160</v>
      </c>
      <c r="H312" s="1" t="s">
        <v>151</v>
      </c>
      <c r="I312">
        <v>32.4</v>
      </c>
      <c r="J312">
        <v>32.4</v>
      </c>
      <c r="K312">
        <f t="shared" si="128"/>
        <v>32.4</v>
      </c>
      <c r="L312">
        <v>1400</v>
      </c>
      <c r="M312">
        <v>1400</v>
      </c>
      <c r="N312">
        <v>0</v>
      </c>
      <c r="O312">
        <f t="shared" si="129"/>
        <v>0</v>
      </c>
      <c r="P312">
        <v>240</v>
      </c>
      <c r="Q312">
        <v>170</v>
      </c>
      <c r="R312" t="s">
        <v>39</v>
      </c>
      <c r="S312" s="30" t="s">
        <v>76</v>
      </c>
      <c r="T312">
        <v>15.9</v>
      </c>
      <c r="U312">
        <v>199</v>
      </c>
      <c r="V312" s="1">
        <v>374</v>
      </c>
      <c r="W312" s="1">
        <v>175</v>
      </c>
      <c r="X312" t="s">
        <v>40</v>
      </c>
      <c r="Y312">
        <v>50</v>
      </c>
      <c r="Z312">
        <v>2</v>
      </c>
      <c r="AA312">
        <v>6.35</v>
      </c>
      <c r="AB312">
        <v>31.7</v>
      </c>
      <c r="AC312">
        <v>341</v>
      </c>
      <c r="AD312">
        <v>196</v>
      </c>
      <c r="AE312">
        <v>7</v>
      </c>
      <c r="AF312">
        <v>24</v>
      </c>
      <c r="AG312">
        <v>0</v>
      </c>
      <c r="AH312">
        <v>0</v>
      </c>
      <c r="AI312">
        <v>7</v>
      </c>
      <c r="AJ312">
        <v>24</v>
      </c>
      <c r="AK312">
        <v>0</v>
      </c>
      <c r="AL312">
        <v>0</v>
      </c>
      <c r="AM312" s="30">
        <v>38</v>
      </c>
      <c r="AN312">
        <v>240</v>
      </c>
      <c r="AO312">
        <v>340</v>
      </c>
      <c r="AP312" t="s">
        <v>39</v>
      </c>
      <c r="AQ312" s="30" t="s">
        <v>76</v>
      </c>
      <c r="AR312">
        <v>15.9</v>
      </c>
      <c r="AS312">
        <v>199</v>
      </c>
      <c r="AT312">
        <v>374</v>
      </c>
      <c r="AU312">
        <v>175</v>
      </c>
      <c r="AV312" t="s">
        <v>40</v>
      </c>
      <c r="AW312">
        <v>50</v>
      </c>
      <c r="AX312">
        <v>2</v>
      </c>
      <c r="AY312">
        <v>6.35</v>
      </c>
      <c r="AZ312">
        <v>31.7</v>
      </c>
      <c r="BA312">
        <v>341</v>
      </c>
      <c r="BB312">
        <v>196</v>
      </c>
      <c r="BC312">
        <v>3</v>
      </c>
      <c r="BD312">
        <v>24</v>
      </c>
      <c r="BE312">
        <v>0</v>
      </c>
      <c r="BF312">
        <v>0</v>
      </c>
      <c r="BG312">
        <v>3</v>
      </c>
      <c r="BH312">
        <v>24</v>
      </c>
      <c r="BI312">
        <v>0</v>
      </c>
      <c r="BJ312">
        <v>0</v>
      </c>
      <c r="BK312" s="30">
        <v>24</v>
      </c>
      <c r="BL312" s="30">
        <v>0</v>
      </c>
      <c r="BM312" t="s">
        <v>166</v>
      </c>
      <c r="BN312" t="s">
        <v>40</v>
      </c>
      <c r="BP312" s="30">
        <v>31.7</v>
      </c>
      <c r="BQ312">
        <v>2</v>
      </c>
      <c r="BR312">
        <v>4</v>
      </c>
      <c r="BS312">
        <v>399</v>
      </c>
      <c r="BT312">
        <v>204</v>
      </c>
      <c r="BU312" s="23">
        <v>0.44</v>
      </c>
    </row>
    <row r="313" spans="1:74">
      <c r="A313">
        <v>308</v>
      </c>
      <c r="B313" s="1">
        <v>1</v>
      </c>
      <c r="G313" t="s">
        <v>160</v>
      </c>
      <c r="H313" s="1" t="s">
        <v>152</v>
      </c>
      <c r="I313">
        <v>32.9</v>
      </c>
      <c r="J313">
        <v>32.9</v>
      </c>
      <c r="K313">
        <f t="shared" si="128"/>
        <v>32.9</v>
      </c>
      <c r="L313">
        <v>1400</v>
      </c>
      <c r="M313">
        <v>1400</v>
      </c>
      <c r="N313">
        <v>0</v>
      </c>
      <c r="O313">
        <f t="shared" si="129"/>
        <v>0</v>
      </c>
      <c r="P313">
        <v>240</v>
      </c>
      <c r="Q313">
        <v>240</v>
      </c>
      <c r="R313" t="s">
        <v>62</v>
      </c>
      <c r="S313" s="30" t="s">
        <v>76</v>
      </c>
      <c r="T313">
        <v>12.7</v>
      </c>
      <c r="U313">
        <v>127</v>
      </c>
      <c r="V313" s="1">
        <v>378</v>
      </c>
      <c r="W313" s="1">
        <v>188</v>
      </c>
      <c r="X313" t="s">
        <v>40</v>
      </c>
      <c r="Y313">
        <v>50</v>
      </c>
      <c r="Z313">
        <v>2</v>
      </c>
      <c r="AA313">
        <v>6.35</v>
      </c>
      <c r="AB313">
        <v>31.7</v>
      </c>
      <c r="AC313">
        <v>341</v>
      </c>
      <c r="AD313">
        <v>196</v>
      </c>
      <c r="AE313">
        <v>5</v>
      </c>
      <c r="AF313">
        <v>24</v>
      </c>
      <c r="AG313">
        <v>0</v>
      </c>
      <c r="AH313">
        <v>0</v>
      </c>
      <c r="AI313">
        <v>5</v>
      </c>
      <c r="AJ313">
        <v>24</v>
      </c>
      <c r="AK313">
        <v>0</v>
      </c>
      <c r="AL313">
        <v>0</v>
      </c>
      <c r="AM313" s="30">
        <v>38</v>
      </c>
      <c r="AN313">
        <v>240</v>
      </c>
      <c r="AO313">
        <v>240</v>
      </c>
      <c r="AP313" t="s">
        <v>62</v>
      </c>
      <c r="AQ313" s="30" t="s">
        <v>76</v>
      </c>
      <c r="AR313">
        <v>12.7</v>
      </c>
      <c r="AS313">
        <v>127</v>
      </c>
      <c r="AT313">
        <v>378</v>
      </c>
      <c r="AU313">
        <v>188</v>
      </c>
      <c r="AV313" t="s">
        <v>40</v>
      </c>
      <c r="AW313">
        <v>50</v>
      </c>
      <c r="AX313">
        <v>2</v>
      </c>
      <c r="AY313">
        <v>6.35</v>
      </c>
      <c r="AZ313">
        <v>31.7</v>
      </c>
      <c r="BA313">
        <v>341</v>
      </c>
      <c r="BB313">
        <v>196</v>
      </c>
      <c r="BC313">
        <v>5</v>
      </c>
      <c r="BD313">
        <v>24</v>
      </c>
      <c r="BE313">
        <v>0</v>
      </c>
      <c r="BF313">
        <v>0</v>
      </c>
      <c r="BG313">
        <v>5</v>
      </c>
      <c r="BH313">
        <v>24</v>
      </c>
      <c r="BI313">
        <v>0</v>
      </c>
      <c r="BJ313">
        <v>0</v>
      </c>
      <c r="BK313" s="30">
        <v>24</v>
      </c>
      <c r="BL313" s="30">
        <v>0</v>
      </c>
      <c r="BM313" t="s">
        <v>166</v>
      </c>
      <c r="BN313" t="s">
        <v>40</v>
      </c>
      <c r="BP313" s="30">
        <v>31.7</v>
      </c>
      <c r="BQ313">
        <v>2</v>
      </c>
      <c r="BR313">
        <v>4</v>
      </c>
      <c r="BS313">
        <v>399</v>
      </c>
      <c r="BT313">
        <v>204</v>
      </c>
      <c r="BU313" s="23">
        <v>0.28000000000000003</v>
      </c>
    </row>
    <row r="314" spans="1:74">
      <c r="A314">
        <v>309</v>
      </c>
      <c r="B314" s="1">
        <v>1</v>
      </c>
      <c r="G314" t="s">
        <v>160</v>
      </c>
      <c r="H314" s="1" t="s">
        <v>153</v>
      </c>
      <c r="I314">
        <v>32.9</v>
      </c>
      <c r="J314">
        <v>32.9</v>
      </c>
      <c r="K314">
        <f t="shared" si="128"/>
        <v>32.9</v>
      </c>
      <c r="L314">
        <v>1400</v>
      </c>
      <c r="M314">
        <v>1400</v>
      </c>
      <c r="N314">
        <v>0</v>
      </c>
      <c r="O314">
        <f t="shared" si="129"/>
        <v>0</v>
      </c>
      <c r="P314">
        <v>240</v>
      </c>
      <c r="Q314">
        <v>240</v>
      </c>
      <c r="R314" t="s">
        <v>62</v>
      </c>
      <c r="S314" s="30" t="s">
        <v>76</v>
      </c>
      <c r="T314">
        <v>12.7</v>
      </c>
      <c r="U314">
        <v>127</v>
      </c>
      <c r="V314" s="1">
        <v>378</v>
      </c>
      <c r="W314" s="1">
        <v>188</v>
      </c>
      <c r="X314" t="s">
        <v>40</v>
      </c>
      <c r="Y314">
        <v>50</v>
      </c>
      <c r="Z314">
        <v>2</v>
      </c>
      <c r="AA314">
        <v>6.35</v>
      </c>
      <c r="AB314">
        <v>31.7</v>
      </c>
      <c r="AC314">
        <v>341</v>
      </c>
      <c r="AD314">
        <v>196</v>
      </c>
      <c r="AE314">
        <v>5</v>
      </c>
      <c r="AF314">
        <v>24</v>
      </c>
      <c r="AG314">
        <v>2</v>
      </c>
      <c r="AH314">
        <v>36</v>
      </c>
      <c r="AI314">
        <v>3</v>
      </c>
      <c r="AJ314">
        <v>24</v>
      </c>
      <c r="AK314">
        <v>0</v>
      </c>
      <c r="AL314">
        <v>0</v>
      </c>
      <c r="AM314" s="30">
        <v>38</v>
      </c>
      <c r="AN314">
        <v>240</v>
      </c>
      <c r="AO314">
        <v>240</v>
      </c>
      <c r="AP314" t="s">
        <v>62</v>
      </c>
      <c r="AQ314" s="30" t="s">
        <v>76</v>
      </c>
      <c r="AR314">
        <v>12.7</v>
      </c>
      <c r="AS314">
        <v>127</v>
      </c>
      <c r="AT314">
        <v>378</v>
      </c>
      <c r="AU314">
        <v>188</v>
      </c>
      <c r="AV314" t="s">
        <v>40</v>
      </c>
      <c r="AW314">
        <v>50</v>
      </c>
      <c r="AX314">
        <v>2</v>
      </c>
      <c r="AY314">
        <v>6.35</v>
      </c>
      <c r="AZ314">
        <v>31.7</v>
      </c>
      <c r="BA314">
        <v>341</v>
      </c>
      <c r="BB314">
        <v>196</v>
      </c>
      <c r="BC314">
        <v>5</v>
      </c>
      <c r="BD314">
        <v>24</v>
      </c>
      <c r="BE314">
        <v>0</v>
      </c>
      <c r="BF314">
        <v>0</v>
      </c>
      <c r="BG314">
        <v>5</v>
      </c>
      <c r="BH314">
        <v>24</v>
      </c>
      <c r="BI314">
        <v>0</v>
      </c>
      <c r="BJ314">
        <v>0</v>
      </c>
      <c r="BK314" s="30">
        <v>24</v>
      </c>
      <c r="BL314" s="30">
        <v>0</v>
      </c>
      <c r="BM314" t="s">
        <v>166</v>
      </c>
      <c r="BN314" t="s">
        <v>40</v>
      </c>
      <c r="BP314" s="30">
        <v>31.7</v>
      </c>
      <c r="BQ314">
        <v>2</v>
      </c>
      <c r="BR314">
        <v>4</v>
      </c>
      <c r="BS314">
        <v>399</v>
      </c>
      <c r="BT314">
        <v>204</v>
      </c>
      <c r="BU314" s="23">
        <v>0.28000000000000003</v>
      </c>
    </row>
    <row r="315" spans="1:74">
      <c r="A315">
        <v>310</v>
      </c>
      <c r="B315" s="1">
        <v>1</v>
      </c>
      <c r="G315" t="s">
        <v>160</v>
      </c>
      <c r="H315" s="1" t="s">
        <v>154</v>
      </c>
      <c r="I315">
        <v>32.9</v>
      </c>
      <c r="J315">
        <v>32.9</v>
      </c>
      <c r="K315">
        <f t="shared" si="128"/>
        <v>32.9</v>
      </c>
      <c r="L315">
        <v>1400</v>
      </c>
      <c r="M315">
        <v>1400</v>
      </c>
      <c r="N315">
        <v>0</v>
      </c>
      <c r="O315">
        <f t="shared" si="129"/>
        <v>0</v>
      </c>
      <c r="P315">
        <v>240</v>
      </c>
      <c r="Q315">
        <v>240</v>
      </c>
      <c r="R315" t="s">
        <v>62</v>
      </c>
      <c r="S315" s="30" t="s">
        <v>76</v>
      </c>
      <c r="T315">
        <v>12.7</v>
      </c>
      <c r="U315">
        <v>127</v>
      </c>
      <c r="V315" s="1">
        <v>378</v>
      </c>
      <c r="W315" s="1">
        <v>188</v>
      </c>
      <c r="X315" t="s">
        <v>40</v>
      </c>
      <c r="Y315">
        <v>50</v>
      </c>
      <c r="Z315">
        <v>2</v>
      </c>
      <c r="AA315">
        <v>6.35</v>
      </c>
      <c r="AB315">
        <v>31.7</v>
      </c>
      <c r="AC315">
        <v>341</v>
      </c>
      <c r="AD315">
        <v>196</v>
      </c>
      <c r="AE315">
        <v>5</v>
      </c>
      <c r="AF315">
        <v>24</v>
      </c>
      <c r="AG315">
        <v>2</v>
      </c>
      <c r="AH315">
        <v>36</v>
      </c>
      <c r="AI315">
        <v>3</v>
      </c>
      <c r="AJ315">
        <v>24</v>
      </c>
      <c r="AK315">
        <v>0</v>
      </c>
      <c r="AL315">
        <v>0</v>
      </c>
      <c r="AM315" s="30">
        <v>38</v>
      </c>
      <c r="AN315">
        <v>240</v>
      </c>
      <c r="AO315">
        <v>240</v>
      </c>
      <c r="AP315" t="s">
        <v>62</v>
      </c>
      <c r="AQ315" s="30" t="s">
        <v>76</v>
      </c>
      <c r="AR315">
        <v>12.7</v>
      </c>
      <c r="AS315">
        <v>127</v>
      </c>
      <c r="AT315">
        <v>378</v>
      </c>
      <c r="AU315">
        <v>188</v>
      </c>
      <c r="AV315" t="s">
        <v>40</v>
      </c>
      <c r="AW315">
        <v>50</v>
      </c>
      <c r="AX315">
        <v>2</v>
      </c>
      <c r="AY315">
        <v>6.35</v>
      </c>
      <c r="AZ315">
        <v>31.7</v>
      </c>
      <c r="BA315">
        <v>341</v>
      </c>
      <c r="BB315">
        <v>196</v>
      </c>
      <c r="BC315">
        <v>5</v>
      </c>
      <c r="BD315">
        <v>24</v>
      </c>
      <c r="BE315">
        <v>2</v>
      </c>
      <c r="BF315">
        <v>36</v>
      </c>
      <c r="BG315">
        <v>5</v>
      </c>
      <c r="BH315">
        <v>24</v>
      </c>
      <c r="BI315">
        <v>2</v>
      </c>
      <c r="BJ315">
        <v>36</v>
      </c>
      <c r="BK315" s="30">
        <v>24</v>
      </c>
      <c r="BL315" s="30">
        <v>0</v>
      </c>
      <c r="BM315" t="s">
        <v>166</v>
      </c>
      <c r="BN315" t="s">
        <v>40</v>
      </c>
      <c r="BP315" s="30">
        <v>31.7</v>
      </c>
      <c r="BQ315">
        <v>2</v>
      </c>
      <c r="BR315">
        <v>4</v>
      </c>
      <c r="BS315">
        <v>399</v>
      </c>
      <c r="BT315">
        <v>204</v>
      </c>
      <c r="BU315" s="23">
        <v>0.28000000000000003</v>
      </c>
    </row>
    <row r="316" spans="1:74">
      <c r="A316">
        <v>311</v>
      </c>
      <c r="B316" s="1">
        <v>1</v>
      </c>
      <c r="G316" t="s">
        <v>160</v>
      </c>
      <c r="H316" s="1" t="s">
        <v>155</v>
      </c>
      <c r="I316">
        <v>61.4</v>
      </c>
      <c r="J316">
        <v>61.4</v>
      </c>
      <c r="K316">
        <f t="shared" si="128"/>
        <v>61.4</v>
      </c>
      <c r="L316">
        <v>1400</v>
      </c>
      <c r="M316">
        <v>1400</v>
      </c>
      <c r="N316">
        <v>0</v>
      </c>
      <c r="O316">
        <f t="shared" si="129"/>
        <v>0</v>
      </c>
      <c r="P316">
        <v>240</v>
      </c>
      <c r="Q316">
        <v>240</v>
      </c>
      <c r="R316" t="s">
        <v>62</v>
      </c>
      <c r="S316" s="30" t="s">
        <v>76</v>
      </c>
      <c r="T316">
        <v>12.7</v>
      </c>
      <c r="U316">
        <v>127</v>
      </c>
      <c r="V316" s="1">
        <v>378</v>
      </c>
      <c r="W316" s="1">
        <v>188</v>
      </c>
      <c r="X316" t="s">
        <v>40</v>
      </c>
      <c r="Y316">
        <v>50</v>
      </c>
      <c r="Z316">
        <v>2</v>
      </c>
      <c r="AA316">
        <v>6.35</v>
      </c>
      <c r="AB316">
        <v>31.7</v>
      </c>
      <c r="AC316">
        <v>341</v>
      </c>
      <c r="AD316">
        <v>196</v>
      </c>
      <c r="AE316">
        <v>4</v>
      </c>
      <c r="AF316">
        <v>24</v>
      </c>
      <c r="AG316">
        <v>0</v>
      </c>
      <c r="AH316">
        <v>0</v>
      </c>
      <c r="AI316">
        <v>4</v>
      </c>
      <c r="AJ316">
        <v>24</v>
      </c>
      <c r="AK316">
        <v>0</v>
      </c>
      <c r="AL316">
        <v>0</v>
      </c>
      <c r="AM316" s="30">
        <v>38</v>
      </c>
      <c r="AN316">
        <v>240</v>
      </c>
      <c r="AO316">
        <v>240</v>
      </c>
      <c r="AP316" t="s">
        <v>62</v>
      </c>
      <c r="AQ316" s="30" t="s">
        <v>76</v>
      </c>
      <c r="AR316">
        <v>12.7</v>
      </c>
      <c r="AS316">
        <v>127</v>
      </c>
      <c r="AT316">
        <v>378</v>
      </c>
      <c r="AU316">
        <v>188</v>
      </c>
      <c r="AV316" t="s">
        <v>40</v>
      </c>
      <c r="AW316">
        <v>50</v>
      </c>
      <c r="AX316">
        <v>2</v>
      </c>
      <c r="AY316">
        <v>6.35</v>
      </c>
      <c r="AZ316">
        <v>31.7</v>
      </c>
      <c r="BA316">
        <v>341</v>
      </c>
      <c r="BB316">
        <v>196</v>
      </c>
      <c r="BC316">
        <v>4</v>
      </c>
      <c r="BD316">
        <v>24</v>
      </c>
      <c r="BE316">
        <v>0</v>
      </c>
      <c r="BF316">
        <v>0</v>
      </c>
      <c r="BG316">
        <v>4</v>
      </c>
      <c r="BH316">
        <v>24</v>
      </c>
      <c r="BI316">
        <v>0</v>
      </c>
      <c r="BJ316">
        <v>0</v>
      </c>
      <c r="BK316" s="30">
        <v>24</v>
      </c>
      <c r="BL316" s="30">
        <v>0</v>
      </c>
      <c r="BM316" t="s">
        <v>166</v>
      </c>
      <c r="BN316" t="s">
        <v>40</v>
      </c>
      <c r="BP316" s="30">
        <v>31.7</v>
      </c>
      <c r="BQ316">
        <v>2</v>
      </c>
      <c r="BR316">
        <v>4</v>
      </c>
      <c r="BS316">
        <v>399</v>
      </c>
      <c r="BT316">
        <v>204</v>
      </c>
      <c r="BU316" s="23">
        <v>0.28000000000000003</v>
      </c>
    </row>
    <row r="317" spans="1:74">
      <c r="A317">
        <v>312</v>
      </c>
      <c r="B317" s="1">
        <v>1</v>
      </c>
      <c r="C317" s="17"/>
      <c r="D317" s="17"/>
      <c r="E317" s="17"/>
      <c r="F317" s="17"/>
      <c r="G317" s="17" t="s">
        <v>160</v>
      </c>
      <c r="H317" s="7" t="s">
        <v>156</v>
      </c>
      <c r="I317" s="17">
        <v>61.4</v>
      </c>
      <c r="J317" s="17">
        <v>61.4</v>
      </c>
      <c r="K317" s="17">
        <f t="shared" si="128"/>
        <v>61.4</v>
      </c>
      <c r="L317" s="17">
        <v>1400</v>
      </c>
      <c r="M317" s="17">
        <v>1400</v>
      </c>
      <c r="N317" s="17">
        <v>0</v>
      </c>
      <c r="O317" s="17">
        <f t="shared" si="129"/>
        <v>0</v>
      </c>
      <c r="P317" s="17">
        <v>240</v>
      </c>
      <c r="Q317" s="17">
        <v>240</v>
      </c>
      <c r="R317" s="17" t="s">
        <v>62</v>
      </c>
      <c r="S317" s="31" t="s">
        <v>76</v>
      </c>
      <c r="T317" s="17">
        <v>12.7</v>
      </c>
      <c r="U317" s="17">
        <v>127</v>
      </c>
      <c r="V317" s="7">
        <v>378</v>
      </c>
      <c r="W317" s="7">
        <v>188</v>
      </c>
      <c r="X317" s="17" t="s">
        <v>40</v>
      </c>
      <c r="Y317" s="17">
        <v>50</v>
      </c>
      <c r="Z317" s="17">
        <v>2</v>
      </c>
      <c r="AA317" s="17">
        <v>6.35</v>
      </c>
      <c r="AB317" s="17">
        <v>31.7</v>
      </c>
      <c r="AC317" s="17">
        <v>341</v>
      </c>
      <c r="AD317" s="17">
        <v>196</v>
      </c>
      <c r="AE317" s="17">
        <v>5</v>
      </c>
      <c r="AF317" s="17">
        <v>24</v>
      </c>
      <c r="AG317" s="17">
        <v>0</v>
      </c>
      <c r="AH317" s="17">
        <v>0</v>
      </c>
      <c r="AI317" s="17">
        <v>5</v>
      </c>
      <c r="AJ317" s="17">
        <v>24</v>
      </c>
      <c r="AK317" s="17">
        <v>0</v>
      </c>
      <c r="AL317" s="17">
        <v>0</v>
      </c>
      <c r="AM317" s="31">
        <v>38</v>
      </c>
      <c r="AN317" s="17">
        <v>240</v>
      </c>
      <c r="AO317" s="17">
        <v>240</v>
      </c>
      <c r="AP317" s="17" t="s">
        <v>62</v>
      </c>
      <c r="AQ317" s="31" t="s">
        <v>76</v>
      </c>
      <c r="AR317" s="17">
        <v>12.7</v>
      </c>
      <c r="AS317" s="17">
        <v>127</v>
      </c>
      <c r="AT317" s="17">
        <v>378</v>
      </c>
      <c r="AU317" s="17">
        <v>188</v>
      </c>
      <c r="AV317" s="17" t="s">
        <v>40</v>
      </c>
      <c r="AW317" s="17">
        <v>50</v>
      </c>
      <c r="AX317" s="17">
        <v>2</v>
      </c>
      <c r="AY317" s="17">
        <v>6.35</v>
      </c>
      <c r="AZ317" s="17">
        <v>31.7</v>
      </c>
      <c r="BA317" s="17">
        <v>341</v>
      </c>
      <c r="BB317" s="17">
        <v>196</v>
      </c>
      <c r="BC317" s="17">
        <v>5</v>
      </c>
      <c r="BD317" s="17">
        <v>24</v>
      </c>
      <c r="BE317" s="17">
        <v>0</v>
      </c>
      <c r="BF317" s="17">
        <v>0</v>
      </c>
      <c r="BG317" s="17">
        <v>5</v>
      </c>
      <c r="BH317" s="17">
        <v>24</v>
      </c>
      <c r="BI317" s="17">
        <v>0</v>
      </c>
      <c r="BJ317" s="17">
        <v>0</v>
      </c>
      <c r="BK317" s="31">
        <v>24</v>
      </c>
      <c r="BL317" s="31">
        <v>0</v>
      </c>
      <c r="BM317" s="17" t="s">
        <v>166</v>
      </c>
      <c r="BN317" s="17" t="s">
        <v>40</v>
      </c>
      <c r="BO317" s="31"/>
      <c r="BP317" s="31">
        <v>31.7</v>
      </c>
      <c r="BQ317" s="17">
        <v>2</v>
      </c>
      <c r="BR317" s="17">
        <v>4</v>
      </c>
      <c r="BS317" s="17">
        <v>399</v>
      </c>
      <c r="BT317" s="17">
        <v>204</v>
      </c>
      <c r="BU317" s="86">
        <v>0.28000000000000003</v>
      </c>
      <c r="BV317" s="17"/>
    </row>
    <row r="318" spans="1:74">
      <c r="A318">
        <v>313</v>
      </c>
      <c r="B318" s="1">
        <v>1</v>
      </c>
      <c r="G318" t="s">
        <v>160</v>
      </c>
      <c r="H318" s="1" t="s">
        <v>157</v>
      </c>
      <c r="I318">
        <v>61.4</v>
      </c>
      <c r="J318">
        <v>61.4</v>
      </c>
      <c r="K318">
        <f t="shared" si="128"/>
        <v>61.4</v>
      </c>
      <c r="L318">
        <v>1400</v>
      </c>
      <c r="M318">
        <v>1400</v>
      </c>
      <c r="N318">
        <v>0</v>
      </c>
      <c r="O318">
        <f t="shared" si="129"/>
        <v>0</v>
      </c>
      <c r="P318">
        <v>240</v>
      </c>
      <c r="Q318">
        <v>240</v>
      </c>
      <c r="R318" t="s">
        <v>39</v>
      </c>
      <c r="S318" s="30" t="s">
        <v>243</v>
      </c>
      <c r="T318">
        <v>15.9</v>
      </c>
      <c r="U318">
        <v>199</v>
      </c>
      <c r="V318" s="1">
        <v>425</v>
      </c>
      <c r="W318" s="1">
        <v>192</v>
      </c>
      <c r="X318" t="s">
        <v>40</v>
      </c>
      <c r="Y318">
        <v>50</v>
      </c>
      <c r="Z318">
        <v>2</v>
      </c>
      <c r="AA318">
        <v>6.35</v>
      </c>
      <c r="AB318">
        <v>31.7</v>
      </c>
      <c r="AC318">
        <v>341</v>
      </c>
      <c r="AD318">
        <v>196</v>
      </c>
      <c r="AE318">
        <v>5</v>
      </c>
      <c r="AF318">
        <v>24</v>
      </c>
      <c r="AG318">
        <v>0</v>
      </c>
      <c r="AH318">
        <v>0</v>
      </c>
      <c r="AI318">
        <v>5</v>
      </c>
      <c r="AJ318">
        <v>24</v>
      </c>
      <c r="AK318">
        <v>0</v>
      </c>
      <c r="AL318">
        <v>0</v>
      </c>
      <c r="AM318" s="30">
        <v>38</v>
      </c>
      <c r="AN318">
        <v>240</v>
      </c>
      <c r="AO318">
        <v>240</v>
      </c>
      <c r="AP318" t="s">
        <v>39</v>
      </c>
      <c r="AQ318" s="30" t="s">
        <v>243</v>
      </c>
      <c r="AR318">
        <v>15.9</v>
      </c>
      <c r="AS318">
        <v>199</v>
      </c>
      <c r="AT318">
        <v>425</v>
      </c>
      <c r="AU318">
        <v>192</v>
      </c>
      <c r="AV318" t="s">
        <v>40</v>
      </c>
      <c r="AW318">
        <v>50</v>
      </c>
      <c r="AX318">
        <v>2</v>
      </c>
      <c r="AY318">
        <v>6.35</v>
      </c>
      <c r="AZ318">
        <v>31.7</v>
      </c>
      <c r="BA318">
        <v>341</v>
      </c>
      <c r="BB318">
        <v>196</v>
      </c>
      <c r="BC318">
        <v>5</v>
      </c>
      <c r="BD318">
        <v>24</v>
      </c>
      <c r="BE318">
        <v>0</v>
      </c>
      <c r="BF318">
        <v>0</v>
      </c>
      <c r="BG318">
        <v>5</v>
      </c>
      <c r="BH318">
        <v>24</v>
      </c>
      <c r="BI318">
        <v>0</v>
      </c>
      <c r="BJ318">
        <v>0</v>
      </c>
      <c r="BK318" s="30">
        <v>24</v>
      </c>
      <c r="BL318" s="30">
        <v>0</v>
      </c>
      <c r="BM318" t="s">
        <v>166</v>
      </c>
      <c r="BN318" t="s">
        <v>40</v>
      </c>
      <c r="BP318" s="30">
        <v>31.7</v>
      </c>
      <c r="BQ318">
        <v>2</v>
      </c>
      <c r="BR318">
        <v>4</v>
      </c>
      <c r="BS318">
        <v>399</v>
      </c>
      <c r="BT318">
        <v>204</v>
      </c>
      <c r="BU318" s="23">
        <v>0.28000000000000003</v>
      </c>
    </row>
    <row r="319" spans="1:74">
      <c r="A319">
        <v>314</v>
      </c>
      <c r="B319" s="1">
        <v>1</v>
      </c>
      <c r="C319" s="17">
        <v>1164</v>
      </c>
      <c r="D319" s="17" t="s">
        <v>831</v>
      </c>
      <c r="E319" s="17">
        <v>2010</v>
      </c>
      <c r="F319" s="17" t="s">
        <v>33</v>
      </c>
      <c r="G319" s="17" t="s">
        <v>160</v>
      </c>
      <c r="H319" s="7" t="s">
        <v>832</v>
      </c>
      <c r="I319" s="17">
        <v>55.3</v>
      </c>
      <c r="J319" s="17">
        <v>65.599999999999994</v>
      </c>
      <c r="K319" s="17">
        <v>65.599999999999994</v>
      </c>
      <c r="L319" s="17">
        <v>3450</v>
      </c>
      <c r="M319" s="17">
        <v>2200</v>
      </c>
      <c r="N319" s="17">
        <v>0</v>
      </c>
      <c r="O319" s="17">
        <v>2976.5999999999995</v>
      </c>
      <c r="P319" s="17">
        <v>375</v>
      </c>
      <c r="Q319" s="17">
        <v>500</v>
      </c>
      <c r="R319" s="17" t="s">
        <v>213</v>
      </c>
      <c r="S319" s="31" t="s">
        <v>256</v>
      </c>
      <c r="T319" s="17">
        <v>25.4</v>
      </c>
      <c r="U319" s="17">
        <v>507</v>
      </c>
      <c r="V319" s="7">
        <v>527</v>
      </c>
      <c r="W319" s="7">
        <v>197</v>
      </c>
      <c r="X319" s="17" t="s">
        <v>153</v>
      </c>
      <c r="Y319" s="17">
        <v>125</v>
      </c>
      <c r="Z319" s="17">
        <v>4</v>
      </c>
      <c r="AA319" s="17">
        <v>9.5299999999999994</v>
      </c>
      <c r="AB319" s="17">
        <v>71.3</v>
      </c>
      <c r="AC319" s="17">
        <v>890</v>
      </c>
      <c r="AD319" s="17">
        <v>191</v>
      </c>
      <c r="AE319" s="17">
        <v>4</v>
      </c>
      <c r="AF319" s="17">
        <v>65</v>
      </c>
      <c r="AG319" s="17">
        <v>2</v>
      </c>
      <c r="AH319" s="17">
        <v>100</v>
      </c>
      <c r="AI319" s="17">
        <v>4</v>
      </c>
      <c r="AJ319" s="17">
        <v>65</v>
      </c>
      <c r="AK319" s="17">
        <v>2</v>
      </c>
      <c r="AL319" s="17">
        <v>100</v>
      </c>
      <c r="AM319" s="31"/>
      <c r="AN319" s="17">
        <v>550</v>
      </c>
      <c r="AO319" s="17">
        <v>550</v>
      </c>
      <c r="AP319" s="17" t="s">
        <v>213</v>
      </c>
      <c r="AQ319" s="31" t="s">
        <v>256</v>
      </c>
      <c r="AR319" s="17">
        <v>25.4</v>
      </c>
      <c r="AS319" s="17">
        <v>507</v>
      </c>
      <c r="AT319" s="17">
        <v>527</v>
      </c>
      <c r="AU319" s="17">
        <v>197</v>
      </c>
      <c r="AV319" s="17" t="s">
        <v>153</v>
      </c>
      <c r="AW319" s="17">
        <v>75</v>
      </c>
      <c r="AX319" s="17">
        <v>4</v>
      </c>
      <c r="AY319" s="17">
        <v>9.5299999999999994</v>
      </c>
      <c r="AZ319" s="17">
        <v>71.3</v>
      </c>
      <c r="BA319" s="17">
        <v>890</v>
      </c>
      <c r="BB319" s="17">
        <v>191</v>
      </c>
      <c r="BC319" s="17">
        <v>5</v>
      </c>
      <c r="BD319" s="17">
        <v>60</v>
      </c>
      <c r="BE319" s="17">
        <v>2</v>
      </c>
      <c r="BF319" s="17">
        <v>130</v>
      </c>
      <c r="BG319" s="17">
        <v>5</v>
      </c>
      <c r="BH319" s="17">
        <v>60</v>
      </c>
      <c r="BI319" s="17">
        <v>2</v>
      </c>
      <c r="BJ319" s="17">
        <v>130</v>
      </c>
      <c r="BK319" s="31"/>
      <c r="BL319" s="31"/>
      <c r="BM319" s="17" t="s">
        <v>166</v>
      </c>
      <c r="BN319" s="17" t="s">
        <v>153</v>
      </c>
      <c r="BO319" s="31"/>
      <c r="BP319" s="31">
        <v>71.3</v>
      </c>
      <c r="BQ319" s="17">
        <v>5</v>
      </c>
      <c r="BR319" s="17">
        <v>10</v>
      </c>
      <c r="BS319" s="17">
        <v>890</v>
      </c>
      <c r="BT319" s="17">
        <v>191</v>
      </c>
      <c r="BU319" s="86">
        <v>0.42737262737262738</v>
      </c>
      <c r="BV319" s="17"/>
    </row>
    <row r="320" spans="1:74">
      <c r="A320">
        <v>315</v>
      </c>
      <c r="B320" s="1">
        <v>5</v>
      </c>
      <c r="C320">
        <v>1166</v>
      </c>
      <c r="D320" t="s">
        <v>833</v>
      </c>
      <c r="E320">
        <v>2010</v>
      </c>
      <c r="F320" t="s">
        <v>33</v>
      </c>
      <c r="G320" t="s">
        <v>158</v>
      </c>
      <c r="H320" s="1" t="s">
        <v>834</v>
      </c>
      <c r="I320">
        <v>47.5</v>
      </c>
      <c r="J320">
        <v>56.6</v>
      </c>
      <c r="K320">
        <v>56.6</v>
      </c>
      <c r="L320">
        <v>3000</v>
      </c>
      <c r="M320">
        <v>1600</v>
      </c>
      <c r="N320">
        <v>0</v>
      </c>
      <c r="O320">
        <v>1719.2249999999999</v>
      </c>
      <c r="P320">
        <v>275</v>
      </c>
      <c r="Q320">
        <v>450</v>
      </c>
      <c r="R320" t="s">
        <v>57</v>
      </c>
      <c r="S320" s="30" t="s">
        <v>256</v>
      </c>
      <c r="T320">
        <v>19.100000000000001</v>
      </c>
      <c r="U320">
        <v>287</v>
      </c>
      <c r="V320" s="1">
        <v>523.9</v>
      </c>
      <c r="W320" s="1">
        <v>187</v>
      </c>
      <c r="X320" t="s">
        <v>40</v>
      </c>
      <c r="Y320">
        <v>75</v>
      </c>
      <c r="Z320">
        <v>4</v>
      </c>
      <c r="AA320">
        <v>6.35</v>
      </c>
      <c r="AB320">
        <v>31.7</v>
      </c>
      <c r="AC320">
        <v>694.1</v>
      </c>
      <c r="AD320">
        <v>181</v>
      </c>
      <c r="AE320">
        <v>4</v>
      </c>
      <c r="AF320">
        <v>45</v>
      </c>
      <c r="AG320">
        <v>2</v>
      </c>
      <c r="AH320">
        <v>55</v>
      </c>
      <c r="AI320">
        <v>4</v>
      </c>
      <c r="AJ320">
        <v>45</v>
      </c>
      <c r="AK320">
        <v>0</v>
      </c>
      <c r="AL320">
        <v>0</v>
      </c>
      <c r="AN320">
        <v>450</v>
      </c>
      <c r="AO320">
        <v>450</v>
      </c>
      <c r="AP320" t="s">
        <v>57</v>
      </c>
      <c r="AQ320" s="30" t="s">
        <v>256</v>
      </c>
      <c r="AR320">
        <v>19.100000000000001</v>
      </c>
      <c r="AS320">
        <v>287</v>
      </c>
      <c r="AT320">
        <v>523.9</v>
      </c>
      <c r="AU320">
        <v>187</v>
      </c>
      <c r="AV320" t="s">
        <v>40</v>
      </c>
      <c r="AW320">
        <v>50</v>
      </c>
      <c r="AX320">
        <v>4</v>
      </c>
      <c r="AY320">
        <v>6.35</v>
      </c>
      <c r="AZ320">
        <v>31.7</v>
      </c>
      <c r="BA320">
        <v>694.1</v>
      </c>
      <c r="BB320">
        <v>181</v>
      </c>
      <c r="BC320">
        <v>5</v>
      </c>
      <c r="BD320">
        <v>40</v>
      </c>
      <c r="BE320">
        <v>2</v>
      </c>
      <c r="BF320">
        <v>115</v>
      </c>
      <c r="BG320">
        <v>5</v>
      </c>
      <c r="BH320">
        <v>40</v>
      </c>
      <c r="BI320">
        <v>2</v>
      </c>
      <c r="BJ320">
        <v>115</v>
      </c>
      <c r="BL320" s="30">
        <v>2</v>
      </c>
      <c r="BM320" t="s">
        <v>166</v>
      </c>
      <c r="BN320" t="s">
        <v>40</v>
      </c>
      <c r="BP320" s="30">
        <v>31.7</v>
      </c>
      <c r="BQ320">
        <v>7</v>
      </c>
      <c r="BR320">
        <v>14</v>
      </c>
      <c r="BS320">
        <v>694.1</v>
      </c>
      <c r="BT320">
        <v>181</v>
      </c>
      <c r="BU320" s="23">
        <v>0.28865040650406504</v>
      </c>
    </row>
    <row r="321" spans="1:74">
      <c r="A321">
        <v>316</v>
      </c>
      <c r="B321" s="1">
        <v>1</v>
      </c>
      <c r="G321" t="s">
        <v>158</v>
      </c>
      <c r="H321" s="1" t="s">
        <v>835</v>
      </c>
      <c r="I321">
        <v>46.6</v>
      </c>
      <c r="J321">
        <v>54.8</v>
      </c>
      <c r="K321">
        <v>54.8</v>
      </c>
      <c r="L321">
        <v>3000</v>
      </c>
      <c r="M321">
        <v>1600</v>
      </c>
      <c r="N321">
        <v>0</v>
      </c>
      <c r="O321">
        <v>1664.55</v>
      </c>
      <c r="P321">
        <v>275</v>
      </c>
      <c r="Q321">
        <v>450</v>
      </c>
      <c r="R321" t="s">
        <v>57</v>
      </c>
      <c r="S321" s="30" t="s">
        <v>256</v>
      </c>
      <c r="T321">
        <v>19.100000000000001</v>
      </c>
      <c r="U321">
        <v>287</v>
      </c>
      <c r="V321" s="1">
        <v>523.9</v>
      </c>
      <c r="W321" s="1">
        <v>187</v>
      </c>
      <c r="X321" t="s">
        <v>40</v>
      </c>
      <c r="Y321">
        <v>75</v>
      </c>
      <c r="Z321">
        <v>4</v>
      </c>
      <c r="AA321">
        <v>6.35</v>
      </c>
      <c r="AB321">
        <v>31.7</v>
      </c>
      <c r="AC321">
        <v>694.1</v>
      </c>
      <c r="AD321">
        <v>181</v>
      </c>
      <c r="AE321">
        <v>4</v>
      </c>
      <c r="AF321">
        <v>45</v>
      </c>
      <c r="AG321">
        <v>2</v>
      </c>
      <c r="AH321">
        <v>55</v>
      </c>
      <c r="AI321">
        <v>4</v>
      </c>
      <c r="AJ321">
        <v>45</v>
      </c>
      <c r="AK321">
        <v>0</v>
      </c>
      <c r="AL321">
        <v>0</v>
      </c>
      <c r="AN321">
        <v>450</v>
      </c>
      <c r="AO321">
        <v>450</v>
      </c>
      <c r="AP321" t="s">
        <v>57</v>
      </c>
      <c r="AQ321" s="30" t="s">
        <v>256</v>
      </c>
      <c r="AR321">
        <v>19.100000000000001</v>
      </c>
      <c r="AS321">
        <v>287</v>
      </c>
      <c r="AT321">
        <v>523.9</v>
      </c>
      <c r="AU321">
        <v>187</v>
      </c>
      <c r="AV321" t="s">
        <v>40</v>
      </c>
      <c r="AW321">
        <v>50</v>
      </c>
      <c r="AX321">
        <v>4</v>
      </c>
      <c r="AY321">
        <v>6.35</v>
      </c>
      <c r="AZ321">
        <v>31.7</v>
      </c>
      <c r="BA321">
        <v>694.1</v>
      </c>
      <c r="BB321">
        <v>181</v>
      </c>
      <c r="BC321">
        <v>5</v>
      </c>
      <c r="BD321">
        <v>40</v>
      </c>
      <c r="BE321">
        <v>2</v>
      </c>
      <c r="BF321">
        <v>115</v>
      </c>
      <c r="BG321">
        <v>5</v>
      </c>
      <c r="BH321">
        <v>40</v>
      </c>
      <c r="BI321">
        <v>2</v>
      </c>
      <c r="BJ321">
        <v>115</v>
      </c>
      <c r="BL321" s="30">
        <v>2</v>
      </c>
      <c r="BM321" t="s">
        <v>166</v>
      </c>
      <c r="BN321" t="s">
        <v>40</v>
      </c>
      <c r="BP321" s="30">
        <v>31.7</v>
      </c>
      <c r="BQ321">
        <v>7</v>
      </c>
      <c r="BR321">
        <v>14</v>
      </c>
      <c r="BS321">
        <v>694.1</v>
      </c>
      <c r="BT321">
        <v>181</v>
      </c>
      <c r="BU321" s="23">
        <v>0.28865040650406504</v>
      </c>
    </row>
    <row r="322" spans="1:74">
      <c r="A322">
        <v>317</v>
      </c>
      <c r="B322" s="1">
        <v>5</v>
      </c>
      <c r="G322" t="s">
        <v>160</v>
      </c>
      <c r="H322" s="1" t="s">
        <v>836</v>
      </c>
      <c r="I322">
        <v>48.4</v>
      </c>
      <c r="J322">
        <v>50.2</v>
      </c>
      <c r="K322">
        <v>50.2</v>
      </c>
      <c r="L322">
        <v>3000</v>
      </c>
      <c r="M322">
        <v>1600</v>
      </c>
      <c r="N322">
        <v>0</v>
      </c>
      <c r="O322">
        <v>1204.8</v>
      </c>
      <c r="P322">
        <v>275</v>
      </c>
      <c r="Q322">
        <v>425</v>
      </c>
      <c r="R322" t="s">
        <v>39</v>
      </c>
      <c r="S322" s="30" t="s">
        <v>256</v>
      </c>
      <c r="T322">
        <v>15.9</v>
      </c>
      <c r="U322">
        <v>199</v>
      </c>
      <c r="V322" s="1">
        <v>562.70000000000005</v>
      </c>
      <c r="W322" s="1">
        <v>189</v>
      </c>
      <c r="X322" t="s">
        <v>40</v>
      </c>
      <c r="Y322">
        <v>75</v>
      </c>
      <c r="Z322">
        <v>4</v>
      </c>
      <c r="AA322">
        <v>6.35</v>
      </c>
      <c r="AB322">
        <v>31.7</v>
      </c>
      <c r="AC322">
        <v>694.1</v>
      </c>
      <c r="AD322">
        <v>181</v>
      </c>
      <c r="AE322">
        <v>4</v>
      </c>
      <c r="AF322">
        <v>45</v>
      </c>
      <c r="AG322">
        <v>2</v>
      </c>
      <c r="AH322">
        <v>55</v>
      </c>
      <c r="AI322">
        <v>4</v>
      </c>
      <c r="AJ322">
        <v>45</v>
      </c>
      <c r="AK322">
        <v>2</v>
      </c>
      <c r="AL322">
        <v>55</v>
      </c>
      <c r="AN322">
        <v>400</v>
      </c>
      <c r="AO322">
        <v>400</v>
      </c>
      <c r="AP322" t="s">
        <v>57</v>
      </c>
      <c r="AQ322" s="30" t="s">
        <v>256</v>
      </c>
      <c r="AR322">
        <v>19.100000000000001</v>
      </c>
      <c r="AS322">
        <v>287</v>
      </c>
      <c r="AT322">
        <v>523.9</v>
      </c>
      <c r="AU322">
        <v>187</v>
      </c>
      <c r="AV322" t="s">
        <v>40</v>
      </c>
      <c r="AW322">
        <v>50</v>
      </c>
      <c r="AX322">
        <v>4</v>
      </c>
      <c r="AY322">
        <v>6.35</v>
      </c>
      <c r="AZ322">
        <v>31.7</v>
      </c>
      <c r="BA322">
        <v>694.1</v>
      </c>
      <c r="BB322">
        <v>181</v>
      </c>
      <c r="BC322">
        <v>5</v>
      </c>
      <c r="BD322">
        <v>40</v>
      </c>
      <c r="BE322">
        <v>2</v>
      </c>
      <c r="BF322">
        <v>90</v>
      </c>
      <c r="BG322">
        <v>5</v>
      </c>
      <c r="BH322">
        <v>40</v>
      </c>
      <c r="BI322">
        <v>2</v>
      </c>
      <c r="BJ322">
        <v>90</v>
      </c>
      <c r="BL322" s="30">
        <v>2</v>
      </c>
      <c r="BM322" t="s">
        <v>166</v>
      </c>
      <c r="BN322" t="s">
        <v>40</v>
      </c>
      <c r="BP322" s="30">
        <v>31.7</v>
      </c>
      <c r="BQ322">
        <v>5</v>
      </c>
      <c r="BR322">
        <v>10</v>
      </c>
      <c r="BS322">
        <v>694.1</v>
      </c>
      <c r="BT322">
        <v>181</v>
      </c>
      <c r="BU322" s="23">
        <v>0.26564245810055864</v>
      </c>
    </row>
    <row r="323" spans="1:74">
      <c r="A323">
        <v>318</v>
      </c>
      <c r="B323" s="1">
        <v>1</v>
      </c>
      <c r="G323" t="s">
        <v>160</v>
      </c>
      <c r="H323" s="1" t="s">
        <v>837</v>
      </c>
      <c r="I323">
        <v>46.5</v>
      </c>
      <c r="J323">
        <v>49.7</v>
      </c>
      <c r="K323">
        <v>49.7</v>
      </c>
      <c r="L323">
        <v>3000</v>
      </c>
      <c r="M323">
        <v>1600</v>
      </c>
      <c r="N323">
        <v>0</v>
      </c>
      <c r="O323">
        <v>1192.8</v>
      </c>
      <c r="P323">
        <v>275</v>
      </c>
      <c r="Q323">
        <v>425</v>
      </c>
      <c r="R323" t="s">
        <v>39</v>
      </c>
      <c r="S323" s="30" t="s">
        <v>256</v>
      </c>
      <c r="T323">
        <v>15.9</v>
      </c>
      <c r="U323">
        <v>199</v>
      </c>
      <c r="V323" s="1">
        <v>562.70000000000005</v>
      </c>
      <c r="W323" s="1">
        <v>189</v>
      </c>
      <c r="X323" t="s">
        <v>40</v>
      </c>
      <c r="Y323">
        <v>75</v>
      </c>
      <c r="Z323">
        <v>4</v>
      </c>
      <c r="AA323">
        <v>6.35</v>
      </c>
      <c r="AB323">
        <v>31.7</v>
      </c>
      <c r="AC323">
        <v>694.1</v>
      </c>
      <c r="AD323">
        <v>181</v>
      </c>
      <c r="AE323">
        <v>4</v>
      </c>
      <c r="AF323">
        <v>45</v>
      </c>
      <c r="AG323">
        <v>2</v>
      </c>
      <c r="AH323">
        <v>55</v>
      </c>
      <c r="AI323">
        <v>4</v>
      </c>
      <c r="AJ323">
        <v>45</v>
      </c>
      <c r="AK323">
        <v>2</v>
      </c>
      <c r="AL323">
        <v>55</v>
      </c>
      <c r="AN323">
        <v>400</v>
      </c>
      <c r="AO323">
        <v>400</v>
      </c>
      <c r="AP323" t="s">
        <v>57</v>
      </c>
      <c r="AQ323" s="30" t="s">
        <v>256</v>
      </c>
      <c r="AR323">
        <v>19.100000000000001</v>
      </c>
      <c r="AS323">
        <v>287</v>
      </c>
      <c r="AT323">
        <v>523.9</v>
      </c>
      <c r="AU323">
        <v>187</v>
      </c>
      <c r="AV323" t="s">
        <v>40</v>
      </c>
      <c r="AW323">
        <v>50</v>
      </c>
      <c r="AX323">
        <v>4</v>
      </c>
      <c r="AY323">
        <v>6.35</v>
      </c>
      <c r="AZ323">
        <v>31.7</v>
      </c>
      <c r="BA323">
        <v>694.1</v>
      </c>
      <c r="BB323">
        <v>181</v>
      </c>
      <c r="BC323">
        <v>5</v>
      </c>
      <c r="BD323">
        <v>40</v>
      </c>
      <c r="BE323">
        <v>2</v>
      </c>
      <c r="BF323">
        <v>90</v>
      </c>
      <c r="BG323">
        <v>5</v>
      </c>
      <c r="BH323">
        <v>40</v>
      </c>
      <c r="BI323">
        <v>2</v>
      </c>
      <c r="BJ323">
        <v>90</v>
      </c>
      <c r="BL323" s="30">
        <v>2</v>
      </c>
      <c r="BM323" t="s">
        <v>166</v>
      </c>
      <c r="BN323" t="s">
        <v>40</v>
      </c>
      <c r="BP323" s="30">
        <v>31.7</v>
      </c>
      <c r="BQ323">
        <v>5</v>
      </c>
      <c r="BR323">
        <v>10</v>
      </c>
      <c r="BS323">
        <v>694.1</v>
      </c>
      <c r="BT323">
        <v>181</v>
      </c>
      <c r="BU323" s="23">
        <v>0.26564245810055864</v>
      </c>
    </row>
    <row r="324" spans="1:74">
      <c r="A324">
        <v>319</v>
      </c>
      <c r="B324" s="1">
        <v>5</v>
      </c>
      <c r="G324" t="s">
        <v>160</v>
      </c>
      <c r="H324" s="1" t="s">
        <v>838</v>
      </c>
      <c r="I324">
        <v>48.6</v>
      </c>
      <c r="J324">
        <v>54.8</v>
      </c>
      <c r="K324">
        <v>54.8</v>
      </c>
      <c r="L324">
        <v>3000</v>
      </c>
      <c r="M324">
        <v>1600</v>
      </c>
      <c r="N324">
        <v>0</v>
      </c>
      <c r="O324">
        <v>1315.2</v>
      </c>
      <c r="P324">
        <v>275</v>
      </c>
      <c r="Q324">
        <v>425</v>
      </c>
      <c r="R324" t="s">
        <v>57</v>
      </c>
      <c r="S324" s="30" t="s">
        <v>256</v>
      </c>
      <c r="T324">
        <v>19.100000000000001</v>
      </c>
      <c r="U324">
        <v>287</v>
      </c>
      <c r="V324" s="1">
        <v>523.9</v>
      </c>
      <c r="W324" s="1">
        <v>187</v>
      </c>
      <c r="X324" t="s">
        <v>40</v>
      </c>
      <c r="Y324">
        <v>75</v>
      </c>
      <c r="Z324">
        <v>4</v>
      </c>
      <c r="AA324">
        <v>6.35</v>
      </c>
      <c r="AB324">
        <v>31.7</v>
      </c>
      <c r="AC324">
        <v>694.1</v>
      </c>
      <c r="AD324">
        <v>181</v>
      </c>
      <c r="AE324">
        <v>4</v>
      </c>
      <c r="AF324">
        <v>45</v>
      </c>
      <c r="AG324">
        <v>2</v>
      </c>
      <c r="AH324">
        <v>55</v>
      </c>
      <c r="AI324">
        <v>4</v>
      </c>
      <c r="AJ324">
        <v>45</v>
      </c>
      <c r="AK324">
        <v>2</v>
      </c>
      <c r="AL324">
        <v>55</v>
      </c>
      <c r="AN324">
        <v>400</v>
      </c>
      <c r="AO324">
        <v>400</v>
      </c>
      <c r="AP324" t="s">
        <v>57</v>
      </c>
      <c r="AQ324" s="30" t="s">
        <v>256</v>
      </c>
      <c r="AR324">
        <v>19.100000000000001</v>
      </c>
      <c r="AS324">
        <v>287</v>
      </c>
      <c r="AT324">
        <v>523.9</v>
      </c>
      <c r="AU324">
        <v>187</v>
      </c>
      <c r="AV324" t="s">
        <v>40</v>
      </c>
      <c r="AW324">
        <v>50</v>
      </c>
      <c r="AX324">
        <v>4</v>
      </c>
      <c r="AY324">
        <v>6.35</v>
      </c>
      <c r="AZ324">
        <v>31.7</v>
      </c>
      <c r="BA324">
        <v>694.1</v>
      </c>
      <c r="BB324">
        <v>181</v>
      </c>
      <c r="BC324">
        <v>5</v>
      </c>
      <c r="BD324">
        <v>40</v>
      </c>
      <c r="BE324">
        <v>2</v>
      </c>
      <c r="BF324">
        <v>90</v>
      </c>
      <c r="BG324">
        <v>5</v>
      </c>
      <c r="BH324">
        <v>40</v>
      </c>
      <c r="BI324">
        <v>2</v>
      </c>
      <c r="BJ324">
        <v>90</v>
      </c>
      <c r="BL324" s="30">
        <v>2</v>
      </c>
      <c r="BM324" t="s">
        <v>166</v>
      </c>
      <c r="BN324" t="s">
        <v>40</v>
      </c>
      <c r="BP324" s="30">
        <v>31.7</v>
      </c>
      <c r="BQ324">
        <v>5</v>
      </c>
      <c r="BR324">
        <v>10</v>
      </c>
      <c r="BS324">
        <v>694.1</v>
      </c>
      <c r="BT324">
        <v>181</v>
      </c>
      <c r="BU324" s="23">
        <v>0.26564245810055864</v>
      </c>
    </row>
    <row r="325" spans="1:74">
      <c r="A325">
        <v>320</v>
      </c>
      <c r="B325" s="1">
        <v>1</v>
      </c>
      <c r="G325" t="s">
        <v>160</v>
      </c>
      <c r="H325" s="1" t="s">
        <v>839</v>
      </c>
      <c r="I325">
        <v>46.2</v>
      </c>
      <c r="J325">
        <v>52.2</v>
      </c>
      <c r="K325">
        <v>52.2</v>
      </c>
      <c r="L325">
        <v>3000</v>
      </c>
      <c r="M325">
        <v>1600</v>
      </c>
      <c r="N325">
        <v>0</v>
      </c>
      <c r="O325">
        <v>1252.8</v>
      </c>
      <c r="P325">
        <v>275</v>
      </c>
      <c r="Q325">
        <v>425</v>
      </c>
      <c r="R325" t="s">
        <v>57</v>
      </c>
      <c r="S325" s="30" t="s">
        <v>256</v>
      </c>
      <c r="T325">
        <v>19.100000000000001</v>
      </c>
      <c r="U325">
        <v>287</v>
      </c>
      <c r="V325" s="1">
        <v>523.9</v>
      </c>
      <c r="W325" s="1">
        <v>187</v>
      </c>
      <c r="X325" t="s">
        <v>40</v>
      </c>
      <c r="Y325">
        <v>75</v>
      </c>
      <c r="Z325">
        <v>4</v>
      </c>
      <c r="AA325">
        <v>6.35</v>
      </c>
      <c r="AB325">
        <v>31.7</v>
      </c>
      <c r="AC325">
        <v>694.1</v>
      </c>
      <c r="AD325">
        <v>181</v>
      </c>
      <c r="AE325">
        <v>4</v>
      </c>
      <c r="AF325">
        <v>45</v>
      </c>
      <c r="AG325">
        <v>2</v>
      </c>
      <c r="AH325">
        <v>55</v>
      </c>
      <c r="AI325">
        <v>4</v>
      </c>
      <c r="AJ325">
        <v>45</v>
      </c>
      <c r="AK325">
        <v>2</v>
      </c>
      <c r="AL325">
        <v>55</v>
      </c>
      <c r="AN325">
        <v>400</v>
      </c>
      <c r="AO325">
        <v>400</v>
      </c>
      <c r="AP325" t="s">
        <v>57</v>
      </c>
      <c r="AQ325" s="30" t="s">
        <v>256</v>
      </c>
      <c r="AR325">
        <v>19.100000000000001</v>
      </c>
      <c r="AS325">
        <v>287</v>
      </c>
      <c r="AT325">
        <v>523.9</v>
      </c>
      <c r="AU325">
        <v>187</v>
      </c>
      <c r="AV325" t="s">
        <v>40</v>
      </c>
      <c r="AW325">
        <v>50</v>
      </c>
      <c r="AX325">
        <v>4</v>
      </c>
      <c r="AY325">
        <v>6.35</v>
      </c>
      <c r="AZ325">
        <v>31.7</v>
      </c>
      <c r="BA325">
        <v>694.1</v>
      </c>
      <c r="BB325">
        <v>181</v>
      </c>
      <c r="BC325">
        <v>5</v>
      </c>
      <c r="BD325">
        <v>40</v>
      </c>
      <c r="BE325">
        <v>2</v>
      </c>
      <c r="BF325">
        <v>90</v>
      </c>
      <c r="BG325">
        <v>5</v>
      </c>
      <c r="BH325">
        <v>40</v>
      </c>
      <c r="BI325">
        <v>2</v>
      </c>
      <c r="BJ325">
        <v>90</v>
      </c>
      <c r="BL325" s="30">
        <v>2</v>
      </c>
      <c r="BM325" t="s">
        <v>166</v>
      </c>
      <c r="BN325" t="s">
        <v>40</v>
      </c>
      <c r="BP325" s="30">
        <v>31.7</v>
      </c>
      <c r="BQ325">
        <v>5</v>
      </c>
      <c r="BR325">
        <v>10</v>
      </c>
      <c r="BS325">
        <v>694.1</v>
      </c>
      <c r="BT325">
        <v>181</v>
      </c>
      <c r="BU325" s="23">
        <v>0.26564245810055864</v>
      </c>
    </row>
    <row r="326" spans="1:74">
      <c r="A326">
        <v>321</v>
      </c>
      <c r="B326" s="1">
        <v>1</v>
      </c>
      <c r="C326">
        <v>1167</v>
      </c>
      <c r="D326" t="s">
        <v>840</v>
      </c>
      <c r="E326">
        <v>2010</v>
      </c>
      <c r="F326" t="s">
        <v>841</v>
      </c>
      <c r="G326" t="s">
        <v>160</v>
      </c>
      <c r="H326" s="1" t="s">
        <v>842</v>
      </c>
      <c r="I326">
        <v>32.799999999999997</v>
      </c>
      <c r="J326">
        <v>32.799999999999997</v>
      </c>
      <c r="K326">
        <v>32.799999999999997</v>
      </c>
      <c r="L326">
        <v>2500</v>
      </c>
      <c r="M326">
        <v>1250</v>
      </c>
      <c r="N326">
        <v>0</v>
      </c>
      <c r="O326">
        <v>270</v>
      </c>
      <c r="P326">
        <v>180</v>
      </c>
      <c r="Q326">
        <v>300</v>
      </c>
      <c r="R326" t="s">
        <v>39</v>
      </c>
      <c r="S326" s="30" t="s">
        <v>76</v>
      </c>
      <c r="T326">
        <v>15.9</v>
      </c>
      <c r="U326">
        <v>199</v>
      </c>
      <c r="V326" s="1">
        <v>410</v>
      </c>
      <c r="W326" s="1">
        <v>204</v>
      </c>
      <c r="X326" t="s">
        <v>40</v>
      </c>
      <c r="Y326">
        <v>100</v>
      </c>
      <c r="Z326">
        <v>2</v>
      </c>
      <c r="AA326">
        <v>6.35</v>
      </c>
      <c r="AB326">
        <v>31.7</v>
      </c>
      <c r="AC326">
        <v>338</v>
      </c>
      <c r="AD326">
        <v>211</v>
      </c>
      <c r="AE326">
        <v>3</v>
      </c>
      <c r="AF326">
        <v>36</v>
      </c>
      <c r="AG326">
        <v>2</v>
      </c>
      <c r="AH326">
        <v>40</v>
      </c>
      <c r="AI326">
        <v>3</v>
      </c>
      <c r="AJ326">
        <v>36</v>
      </c>
      <c r="AK326">
        <v>2</v>
      </c>
      <c r="AL326">
        <v>40</v>
      </c>
      <c r="AN326">
        <v>300</v>
      </c>
      <c r="AO326">
        <v>300</v>
      </c>
      <c r="AP326" t="s">
        <v>39</v>
      </c>
      <c r="AQ326" s="30" t="s">
        <v>76</v>
      </c>
      <c r="AR326">
        <v>15.9</v>
      </c>
      <c r="AS326">
        <v>199</v>
      </c>
      <c r="AT326">
        <v>410</v>
      </c>
      <c r="AU326">
        <v>204</v>
      </c>
      <c r="AV326" t="s">
        <v>40</v>
      </c>
      <c r="AW326">
        <v>100</v>
      </c>
      <c r="AX326">
        <v>2</v>
      </c>
      <c r="AY326">
        <v>6.35</v>
      </c>
      <c r="AZ326">
        <v>31.7</v>
      </c>
      <c r="BA326">
        <v>338</v>
      </c>
      <c r="BB326">
        <v>211</v>
      </c>
      <c r="BC326">
        <v>4</v>
      </c>
      <c r="BD326">
        <v>37</v>
      </c>
      <c r="BE326">
        <v>0</v>
      </c>
      <c r="BF326">
        <v>0</v>
      </c>
      <c r="BG326">
        <v>4</v>
      </c>
      <c r="BH326">
        <v>37</v>
      </c>
      <c r="BI326">
        <v>0</v>
      </c>
      <c r="BJ326">
        <v>0</v>
      </c>
      <c r="BM326" t="s">
        <v>166</v>
      </c>
      <c r="BN326" t="s">
        <v>40</v>
      </c>
      <c r="BP326" s="30">
        <v>31.7</v>
      </c>
      <c r="BQ326">
        <v>3</v>
      </c>
      <c r="BR326">
        <v>6</v>
      </c>
      <c r="BS326">
        <v>338</v>
      </c>
      <c r="BT326">
        <v>211</v>
      </c>
      <c r="BU326" s="23">
        <v>0.32346938775510203</v>
      </c>
    </row>
    <row r="327" spans="1:74">
      <c r="A327">
        <v>322</v>
      </c>
      <c r="B327" s="1">
        <v>1</v>
      </c>
      <c r="C327">
        <v>1168</v>
      </c>
      <c r="D327" t="s">
        <v>843</v>
      </c>
      <c r="E327">
        <v>2010</v>
      </c>
      <c r="F327" t="s">
        <v>841</v>
      </c>
      <c r="G327" t="s">
        <v>160</v>
      </c>
      <c r="H327" s="52" t="s">
        <v>270</v>
      </c>
      <c r="I327">
        <v>27.4</v>
      </c>
      <c r="J327">
        <v>27.4</v>
      </c>
      <c r="K327">
        <v>27.4</v>
      </c>
      <c r="L327">
        <v>2400</v>
      </c>
      <c r="M327">
        <v>1400</v>
      </c>
      <c r="N327">
        <v>0</v>
      </c>
      <c r="O327">
        <v>0</v>
      </c>
      <c r="P327">
        <v>280</v>
      </c>
      <c r="Q327">
        <v>280</v>
      </c>
      <c r="R327" t="s">
        <v>39</v>
      </c>
      <c r="S327" s="30" t="s">
        <v>243</v>
      </c>
      <c r="T327">
        <v>15.9</v>
      </c>
      <c r="U327">
        <v>199</v>
      </c>
      <c r="V327" s="1">
        <v>453</v>
      </c>
      <c r="W327" s="1">
        <v>183</v>
      </c>
      <c r="X327" t="s">
        <v>153</v>
      </c>
      <c r="Y327">
        <v>100</v>
      </c>
      <c r="Z327">
        <v>2</v>
      </c>
      <c r="AA327">
        <v>9.5299999999999994</v>
      </c>
      <c r="AB327">
        <v>71.3</v>
      </c>
      <c r="AC327">
        <v>366</v>
      </c>
      <c r="AD327">
        <v>181</v>
      </c>
      <c r="AE327">
        <v>4</v>
      </c>
      <c r="AF327">
        <v>38</v>
      </c>
      <c r="AG327">
        <v>0</v>
      </c>
      <c r="AH327">
        <v>0</v>
      </c>
      <c r="AI327">
        <v>4</v>
      </c>
      <c r="AJ327">
        <v>38</v>
      </c>
      <c r="AK327">
        <v>0</v>
      </c>
      <c r="AL327">
        <v>0</v>
      </c>
      <c r="AN327">
        <v>280</v>
      </c>
      <c r="AO327">
        <v>280</v>
      </c>
      <c r="AP327" t="s">
        <v>39</v>
      </c>
      <c r="AQ327" s="30" t="s">
        <v>243</v>
      </c>
      <c r="AR327">
        <v>15.9</v>
      </c>
      <c r="AS327">
        <v>199</v>
      </c>
      <c r="AT327">
        <v>453</v>
      </c>
      <c r="AU327">
        <v>183</v>
      </c>
      <c r="AV327" t="s">
        <v>153</v>
      </c>
      <c r="AW327">
        <v>100</v>
      </c>
      <c r="AX327">
        <v>2</v>
      </c>
      <c r="AY327">
        <v>9.5299999999999994</v>
      </c>
      <c r="AZ327">
        <v>71.3</v>
      </c>
      <c r="BA327">
        <v>366</v>
      </c>
      <c r="BB327">
        <v>181</v>
      </c>
      <c r="BC327">
        <v>5</v>
      </c>
      <c r="BD327">
        <v>38</v>
      </c>
      <c r="BE327">
        <v>0</v>
      </c>
      <c r="BF327">
        <v>0</v>
      </c>
      <c r="BG327">
        <v>5</v>
      </c>
      <c r="BH327">
        <v>38</v>
      </c>
      <c r="BI327">
        <v>0</v>
      </c>
      <c r="BJ327">
        <v>0</v>
      </c>
      <c r="BM327" t="s">
        <v>166</v>
      </c>
      <c r="BN327" t="s">
        <v>153</v>
      </c>
      <c r="BP327" s="30">
        <v>71.3</v>
      </c>
      <c r="BQ327">
        <v>2</v>
      </c>
      <c r="BR327">
        <v>4</v>
      </c>
      <c r="BS327">
        <v>366</v>
      </c>
      <c r="BT327">
        <v>181</v>
      </c>
      <c r="BU327" s="23">
        <v>0.49929971988795518</v>
      </c>
    </row>
    <row r="328" spans="1:74">
      <c r="A328">
        <v>323</v>
      </c>
      <c r="B328" s="1">
        <v>1</v>
      </c>
      <c r="G328" t="s">
        <v>160</v>
      </c>
      <c r="H328" s="52" t="s">
        <v>271</v>
      </c>
      <c r="I328">
        <v>39.799999999999997</v>
      </c>
      <c r="J328">
        <v>39.799999999999997</v>
      </c>
      <c r="K328">
        <v>39.799999999999997</v>
      </c>
      <c r="L328">
        <v>2400</v>
      </c>
      <c r="M328">
        <v>1400</v>
      </c>
      <c r="N328">
        <v>0</v>
      </c>
      <c r="O328">
        <v>0</v>
      </c>
      <c r="P328">
        <v>280</v>
      </c>
      <c r="Q328">
        <v>280</v>
      </c>
      <c r="R328" t="s">
        <v>39</v>
      </c>
      <c r="S328" s="30" t="s">
        <v>243</v>
      </c>
      <c r="T328">
        <v>15.9</v>
      </c>
      <c r="U328">
        <v>199</v>
      </c>
      <c r="V328" s="1">
        <v>453</v>
      </c>
      <c r="W328" s="1">
        <v>183</v>
      </c>
      <c r="X328" t="s">
        <v>153</v>
      </c>
      <c r="Y328">
        <v>100</v>
      </c>
      <c r="Z328">
        <v>2</v>
      </c>
      <c r="AA328">
        <v>9.5299999999999994</v>
      </c>
      <c r="AB328">
        <v>71.3</v>
      </c>
      <c r="AC328">
        <v>366</v>
      </c>
      <c r="AD328">
        <v>181</v>
      </c>
      <c r="AE328">
        <v>4</v>
      </c>
      <c r="AF328">
        <v>38</v>
      </c>
      <c r="AG328">
        <v>0</v>
      </c>
      <c r="AH328">
        <v>0</v>
      </c>
      <c r="AI328">
        <v>4</v>
      </c>
      <c r="AJ328">
        <v>38</v>
      </c>
      <c r="AK328">
        <v>0</v>
      </c>
      <c r="AL328">
        <v>0</v>
      </c>
      <c r="AN328">
        <v>280</v>
      </c>
      <c r="AO328">
        <v>280</v>
      </c>
      <c r="AP328" t="s">
        <v>39</v>
      </c>
      <c r="AQ328" s="30" t="s">
        <v>243</v>
      </c>
      <c r="AR328">
        <v>15.9</v>
      </c>
      <c r="AS328">
        <v>199</v>
      </c>
      <c r="AT328">
        <v>453</v>
      </c>
      <c r="AU328">
        <v>183</v>
      </c>
      <c r="AV328" t="s">
        <v>153</v>
      </c>
      <c r="AW328">
        <v>100</v>
      </c>
      <c r="AX328">
        <v>2</v>
      </c>
      <c r="AY328">
        <v>9.5299999999999994</v>
      </c>
      <c r="AZ328">
        <v>71.3</v>
      </c>
      <c r="BA328">
        <v>366</v>
      </c>
      <c r="BB328">
        <v>181</v>
      </c>
      <c r="BC328">
        <v>5</v>
      </c>
      <c r="BD328">
        <v>38</v>
      </c>
      <c r="BE328">
        <v>0</v>
      </c>
      <c r="BF328">
        <v>0</v>
      </c>
      <c r="BG328">
        <v>5</v>
      </c>
      <c r="BH328">
        <v>38</v>
      </c>
      <c r="BI328">
        <v>0</v>
      </c>
      <c r="BJ328">
        <v>0</v>
      </c>
      <c r="BM328" t="s">
        <v>166</v>
      </c>
      <c r="BN328" t="s">
        <v>153</v>
      </c>
      <c r="BP328" s="30">
        <v>71.3</v>
      </c>
      <c r="BQ328">
        <v>2</v>
      </c>
      <c r="BR328">
        <v>4</v>
      </c>
      <c r="BS328">
        <v>366</v>
      </c>
      <c r="BT328">
        <v>181</v>
      </c>
      <c r="BU328" s="23">
        <v>0.49929971988795518</v>
      </c>
    </row>
    <row r="329" spans="1:74">
      <c r="A329">
        <v>324</v>
      </c>
      <c r="B329" s="1">
        <v>1</v>
      </c>
      <c r="G329" t="s">
        <v>160</v>
      </c>
      <c r="H329" s="52" t="s">
        <v>285</v>
      </c>
      <c r="I329">
        <v>27.4</v>
      </c>
      <c r="J329">
        <v>27.4</v>
      </c>
      <c r="K329">
        <v>27.4</v>
      </c>
      <c r="L329">
        <v>2400</v>
      </c>
      <c r="M329">
        <v>1400</v>
      </c>
      <c r="N329">
        <v>0</v>
      </c>
      <c r="O329">
        <v>0</v>
      </c>
      <c r="P329">
        <v>280</v>
      </c>
      <c r="Q329">
        <v>280</v>
      </c>
      <c r="R329" t="s">
        <v>39</v>
      </c>
      <c r="S329" s="30" t="s">
        <v>243</v>
      </c>
      <c r="T329">
        <v>15.9</v>
      </c>
      <c r="U329">
        <v>199</v>
      </c>
      <c r="V329" s="1">
        <v>453</v>
      </c>
      <c r="W329" s="1">
        <v>183</v>
      </c>
      <c r="X329" t="s">
        <v>153</v>
      </c>
      <c r="Y329">
        <v>100</v>
      </c>
      <c r="Z329">
        <v>2</v>
      </c>
      <c r="AA329">
        <v>9.5299999999999994</v>
      </c>
      <c r="AB329">
        <v>71.3</v>
      </c>
      <c r="AC329">
        <v>366</v>
      </c>
      <c r="AD329">
        <v>181</v>
      </c>
      <c r="AE329">
        <v>3</v>
      </c>
      <c r="AF329">
        <v>38</v>
      </c>
      <c r="AG329">
        <v>0</v>
      </c>
      <c r="AH329">
        <v>0</v>
      </c>
      <c r="AI329">
        <v>3</v>
      </c>
      <c r="AJ329">
        <v>38</v>
      </c>
      <c r="AK329">
        <v>0</v>
      </c>
      <c r="AL329">
        <v>0</v>
      </c>
      <c r="AN329">
        <v>280</v>
      </c>
      <c r="AO329">
        <v>280</v>
      </c>
      <c r="AP329" t="s">
        <v>39</v>
      </c>
      <c r="AQ329" s="30" t="s">
        <v>243</v>
      </c>
      <c r="AR329">
        <v>15.9</v>
      </c>
      <c r="AS329">
        <v>199</v>
      </c>
      <c r="AT329">
        <v>453</v>
      </c>
      <c r="AU329">
        <v>183</v>
      </c>
      <c r="AV329" t="s">
        <v>153</v>
      </c>
      <c r="AW329">
        <v>100</v>
      </c>
      <c r="AX329">
        <v>2</v>
      </c>
      <c r="AY329">
        <v>9.5299999999999994</v>
      </c>
      <c r="AZ329">
        <v>71.3</v>
      </c>
      <c r="BA329">
        <v>366</v>
      </c>
      <c r="BB329">
        <v>181</v>
      </c>
      <c r="BC329">
        <v>4</v>
      </c>
      <c r="BD329">
        <v>38</v>
      </c>
      <c r="BE329">
        <v>0</v>
      </c>
      <c r="BF329">
        <v>0</v>
      </c>
      <c r="BG329">
        <v>4</v>
      </c>
      <c r="BH329">
        <v>38</v>
      </c>
      <c r="BI329">
        <v>0</v>
      </c>
      <c r="BJ329">
        <v>0</v>
      </c>
      <c r="BM329" t="s">
        <v>166</v>
      </c>
      <c r="BN329" t="s">
        <v>153</v>
      </c>
      <c r="BP329" s="30">
        <v>71.3</v>
      </c>
      <c r="BQ329">
        <v>2</v>
      </c>
      <c r="BR329">
        <v>4</v>
      </c>
      <c r="BS329">
        <v>366</v>
      </c>
      <c r="BT329">
        <v>181</v>
      </c>
      <c r="BU329" s="23">
        <v>0.49929971988795518</v>
      </c>
    </row>
    <row r="330" spans="1:74">
      <c r="A330">
        <v>325</v>
      </c>
      <c r="B330" s="1">
        <v>1</v>
      </c>
      <c r="G330" t="s">
        <v>160</v>
      </c>
      <c r="H330" s="52" t="s">
        <v>844</v>
      </c>
      <c r="I330">
        <v>27.4</v>
      </c>
      <c r="J330">
        <v>27.4</v>
      </c>
      <c r="K330">
        <v>27.4</v>
      </c>
      <c r="L330">
        <v>2400</v>
      </c>
      <c r="M330">
        <v>1400</v>
      </c>
      <c r="N330">
        <v>0</v>
      </c>
      <c r="O330">
        <v>0</v>
      </c>
      <c r="P330">
        <v>280</v>
      </c>
      <c r="Q330">
        <v>280</v>
      </c>
      <c r="R330" t="s">
        <v>62</v>
      </c>
      <c r="S330" s="30" t="s">
        <v>845</v>
      </c>
      <c r="T330">
        <v>12.7</v>
      </c>
      <c r="U330">
        <v>127</v>
      </c>
      <c r="V330" s="1">
        <v>370</v>
      </c>
      <c r="W330" s="1">
        <v>174</v>
      </c>
      <c r="X330" t="s">
        <v>153</v>
      </c>
      <c r="Y330">
        <v>100</v>
      </c>
      <c r="Z330">
        <v>2</v>
      </c>
      <c r="AA330">
        <v>9.5299999999999994</v>
      </c>
      <c r="AB330">
        <v>71.3</v>
      </c>
      <c r="AC330">
        <v>366</v>
      </c>
      <c r="AD330">
        <v>181</v>
      </c>
      <c r="AE330">
        <v>6</v>
      </c>
      <c r="AF330">
        <v>38</v>
      </c>
      <c r="AG330">
        <v>0</v>
      </c>
      <c r="AH330">
        <v>0</v>
      </c>
      <c r="AI330">
        <v>6</v>
      </c>
      <c r="AJ330">
        <v>38</v>
      </c>
      <c r="AK330">
        <v>0</v>
      </c>
      <c r="AL330">
        <v>0</v>
      </c>
      <c r="AN330">
        <v>280</v>
      </c>
      <c r="AO330">
        <v>280</v>
      </c>
      <c r="AP330" t="s">
        <v>39</v>
      </c>
      <c r="AQ330" s="30" t="s">
        <v>243</v>
      </c>
      <c r="AR330">
        <v>15.9</v>
      </c>
      <c r="AS330">
        <v>199</v>
      </c>
      <c r="AT330">
        <v>453</v>
      </c>
      <c r="AU330">
        <v>183</v>
      </c>
      <c r="AV330" t="s">
        <v>153</v>
      </c>
      <c r="AW330">
        <v>100</v>
      </c>
      <c r="AX330">
        <v>2</v>
      </c>
      <c r="AY330">
        <v>9.5299999999999994</v>
      </c>
      <c r="AZ330">
        <v>71.3</v>
      </c>
      <c r="BA330">
        <v>366</v>
      </c>
      <c r="BB330">
        <v>181</v>
      </c>
      <c r="BC330">
        <v>4</v>
      </c>
      <c r="BD330">
        <v>38</v>
      </c>
      <c r="BE330">
        <v>0</v>
      </c>
      <c r="BF330">
        <v>0</v>
      </c>
      <c r="BG330">
        <v>4</v>
      </c>
      <c r="BH330">
        <v>38</v>
      </c>
      <c r="BI330">
        <v>0</v>
      </c>
      <c r="BJ330">
        <v>0</v>
      </c>
      <c r="BM330" t="s">
        <v>166</v>
      </c>
      <c r="BN330" t="s">
        <v>153</v>
      </c>
      <c r="BP330" s="30">
        <v>71.3</v>
      </c>
      <c r="BQ330">
        <v>2</v>
      </c>
      <c r="BR330">
        <v>4</v>
      </c>
      <c r="BS330">
        <v>366</v>
      </c>
      <c r="BT330">
        <v>181</v>
      </c>
      <c r="BU330" s="23">
        <v>0.49929971988795518</v>
      </c>
    </row>
    <row r="331" spans="1:74">
      <c r="A331">
        <v>326</v>
      </c>
      <c r="B331" s="1">
        <v>1</v>
      </c>
      <c r="C331">
        <v>1169</v>
      </c>
      <c r="D331" t="s">
        <v>843</v>
      </c>
      <c r="E331">
        <v>2010</v>
      </c>
      <c r="F331" t="s">
        <v>846</v>
      </c>
      <c r="G331" t="s">
        <v>160</v>
      </c>
      <c r="H331" s="52" t="s">
        <v>270</v>
      </c>
      <c r="I331">
        <v>25.7</v>
      </c>
      <c r="J331">
        <v>25.7</v>
      </c>
      <c r="K331">
        <v>25.7</v>
      </c>
      <c r="L331">
        <v>3000</v>
      </c>
      <c r="M331">
        <v>2000</v>
      </c>
      <c r="N331">
        <v>0</v>
      </c>
      <c r="O331">
        <v>0</v>
      </c>
      <c r="P331">
        <v>350</v>
      </c>
      <c r="Q331">
        <v>350</v>
      </c>
      <c r="R331" t="s">
        <v>39</v>
      </c>
      <c r="S331" s="30" t="s">
        <v>243</v>
      </c>
      <c r="T331">
        <v>15.9</v>
      </c>
      <c r="U331">
        <v>199</v>
      </c>
      <c r="V331" s="1">
        <v>428</v>
      </c>
      <c r="W331" s="1">
        <v>179</v>
      </c>
      <c r="X331" t="s">
        <v>40</v>
      </c>
      <c r="Y331">
        <v>100</v>
      </c>
      <c r="Z331">
        <v>2</v>
      </c>
      <c r="AA331">
        <v>6.35</v>
      </c>
      <c r="AB331">
        <v>31.7</v>
      </c>
      <c r="AC331">
        <v>359</v>
      </c>
      <c r="AD331">
        <v>184</v>
      </c>
      <c r="AE331">
        <v>5</v>
      </c>
      <c r="AF331">
        <v>35</v>
      </c>
      <c r="AG331">
        <v>0</v>
      </c>
      <c r="AH331">
        <v>0</v>
      </c>
      <c r="AI331">
        <v>5</v>
      </c>
      <c r="AJ331">
        <v>35</v>
      </c>
      <c r="AK331">
        <v>0</v>
      </c>
      <c r="AL331">
        <v>0</v>
      </c>
      <c r="AN331">
        <v>350</v>
      </c>
      <c r="AO331">
        <v>350</v>
      </c>
      <c r="AP331" t="s">
        <v>39</v>
      </c>
      <c r="AQ331" s="30" t="s">
        <v>243</v>
      </c>
      <c r="AR331">
        <v>15.9</v>
      </c>
      <c r="AS331">
        <v>199</v>
      </c>
      <c r="AT331">
        <v>428</v>
      </c>
      <c r="AU331">
        <v>179</v>
      </c>
      <c r="AV331" t="s">
        <v>40</v>
      </c>
      <c r="AW331">
        <v>50</v>
      </c>
      <c r="AX331">
        <v>2</v>
      </c>
      <c r="AY331">
        <v>9.5299999999999994</v>
      </c>
      <c r="AZ331">
        <v>71.3</v>
      </c>
      <c r="BA331">
        <v>359</v>
      </c>
      <c r="BB331">
        <v>184</v>
      </c>
      <c r="BC331">
        <v>6</v>
      </c>
      <c r="BD331">
        <v>35</v>
      </c>
      <c r="BE331">
        <v>0</v>
      </c>
      <c r="BF331">
        <v>0</v>
      </c>
      <c r="BG331">
        <v>6</v>
      </c>
      <c r="BH331">
        <v>35</v>
      </c>
      <c r="BI331">
        <v>0</v>
      </c>
      <c r="BJ331">
        <v>0</v>
      </c>
      <c r="BM331" t="s">
        <v>166</v>
      </c>
      <c r="BN331" t="s">
        <v>40</v>
      </c>
      <c r="BO331" s="30">
        <v>6.35</v>
      </c>
      <c r="BP331" s="30">
        <v>31.7</v>
      </c>
      <c r="BQ331">
        <v>3</v>
      </c>
      <c r="BR331">
        <v>6</v>
      </c>
      <c r="BS331">
        <v>359</v>
      </c>
      <c r="BT331">
        <v>184</v>
      </c>
      <c r="BU331" s="23">
        <v>0.19408163265306119</v>
      </c>
    </row>
    <row r="332" spans="1:74">
      <c r="A332">
        <v>327</v>
      </c>
      <c r="B332" s="1">
        <v>1</v>
      </c>
      <c r="G332" t="s">
        <v>160</v>
      </c>
      <c r="H332" s="52" t="s">
        <v>271</v>
      </c>
      <c r="I332">
        <v>25.7</v>
      </c>
      <c r="J332">
        <v>25.7</v>
      </c>
      <c r="K332">
        <v>25.7</v>
      </c>
      <c r="L332">
        <v>3000</v>
      </c>
      <c r="M332">
        <v>2000</v>
      </c>
      <c r="N332">
        <v>0</v>
      </c>
      <c r="O332">
        <v>331</v>
      </c>
      <c r="P332">
        <v>350</v>
      </c>
      <c r="Q332">
        <v>350</v>
      </c>
      <c r="R332" t="s">
        <v>39</v>
      </c>
      <c r="S332" s="30" t="s">
        <v>243</v>
      </c>
      <c r="T332">
        <v>15.9</v>
      </c>
      <c r="U332">
        <v>199</v>
      </c>
      <c r="V332" s="1">
        <v>428</v>
      </c>
      <c r="W332" s="1">
        <v>179</v>
      </c>
      <c r="X332" t="s">
        <v>40</v>
      </c>
      <c r="Y332">
        <v>100</v>
      </c>
      <c r="Z332">
        <v>2</v>
      </c>
      <c r="AA332">
        <v>6.35</v>
      </c>
      <c r="AB332">
        <v>31.7</v>
      </c>
      <c r="AC332">
        <v>359</v>
      </c>
      <c r="AD332">
        <v>184</v>
      </c>
      <c r="AE332">
        <v>5</v>
      </c>
      <c r="AF332">
        <v>35</v>
      </c>
      <c r="AG332">
        <v>0</v>
      </c>
      <c r="AH332">
        <v>0</v>
      </c>
      <c r="AI332">
        <v>5</v>
      </c>
      <c r="AJ332">
        <v>35</v>
      </c>
      <c r="AK332">
        <v>0</v>
      </c>
      <c r="AL332">
        <v>0</v>
      </c>
      <c r="AN332">
        <v>350</v>
      </c>
      <c r="AO332">
        <v>350</v>
      </c>
      <c r="AP332" t="s">
        <v>39</v>
      </c>
      <c r="AQ332" s="30" t="s">
        <v>243</v>
      </c>
      <c r="AR332">
        <v>15.9</v>
      </c>
      <c r="AS332">
        <v>199</v>
      </c>
      <c r="AT332">
        <v>428</v>
      </c>
      <c r="AU332">
        <v>179</v>
      </c>
      <c r="AV332" t="s">
        <v>40</v>
      </c>
      <c r="AW332">
        <v>50</v>
      </c>
      <c r="AX332">
        <v>2</v>
      </c>
      <c r="AY332">
        <v>9.5299999999999994</v>
      </c>
      <c r="AZ332">
        <v>71.3</v>
      </c>
      <c r="BA332">
        <v>359</v>
      </c>
      <c r="BB332">
        <v>184</v>
      </c>
      <c r="BC332">
        <v>6</v>
      </c>
      <c r="BD332">
        <v>35</v>
      </c>
      <c r="BE332">
        <v>0</v>
      </c>
      <c r="BF332">
        <v>0</v>
      </c>
      <c r="BG332">
        <v>6</v>
      </c>
      <c r="BH332">
        <v>35</v>
      </c>
      <c r="BI332">
        <v>0</v>
      </c>
      <c r="BJ332">
        <v>0</v>
      </c>
      <c r="BM332" t="s">
        <v>166</v>
      </c>
      <c r="BN332" t="s">
        <v>40</v>
      </c>
      <c r="BO332" s="30">
        <v>6.35</v>
      </c>
      <c r="BP332" s="30">
        <v>31.7</v>
      </c>
      <c r="BQ332">
        <v>3</v>
      </c>
      <c r="BR332">
        <v>6</v>
      </c>
      <c r="BS332">
        <v>359</v>
      </c>
      <c r="BT332">
        <v>184</v>
      </c>
      <c r="BU332" s="23">
        <v>0.19408163265306119</v>
      </c>
    </row>
    <row r="333" spans="1:74">
      <c r="A333">
        <v>328</v>
      </c>
      <c r="B333" s="1">
        <v>1</v>
      </c>
      <c r="C333" s="17"/>
      <c r="D333" s="17"/>
      <c r="E333" s="17"/>
      <c r="F333" s="17"/>
      <c r="G333" s="17" t="s">
        <v>160</v>
      </c>
      <c r="H333" s="56" t="s">
        <v>285</v>
      </c>
      <c r="I333" s="17">
        <v>25.7</v>
      </c>
      <c r="J333" s="17">
        <v>25.7</v>
      </c>
      <c r="K333" s="17">
        <v>25.7</v>
      </c>
      <c r="L333" s="17">
        <v>3000</v>
      </c>
      <c r="M333" s="17">
        <v>2000</v>
      </c>
      <c r="N333" s="17">
        <v>0</v>
      </c>
      <c r="O333" s="17">
        <v>0</v>
      </c>
      <c r="P333" s="17">
        <v>350</v>
      </c>
      <c r="Q333" s="17">
        <v>350</v>
      </c>
      <c r="R333" s="17" t="s">
        <v>39</v>
      </c>
      <c r="S333" s="31" t="s">
        <v>243</v>
      </c>
      <c r="T333" s="17">
        <v>15.9</v>
      </c>
      <c r="U333" s="17">
        <v>199</v>
      </c>
      <c r="V333" s="7">
        <v>428</v>
      </c>
      <c r="W333" s="7">
        <v>179</v>
      </c>
      <c r="X333" s="17" t="s">
        <v>40</v>
      </c>
      <c r="Y333" s="17">
        <v>100</v>
      </c>
      <c r="Z333" s="17">
        <v>2</v>
      </c>
      <c r="AA333" s="17">
        <v>6.35</v>
      </c>
      <c r="AB333" s="17">
        <v>31.7</v>
      </c>
      <c r="AC333" s="17">
        <v>359</v>
      </c>
      <c r="AD333" s="17">
        <v>184</v>
      </c>
      <c r="AE333" s="17">
        <v>5</v>
      </c>
      <c r="AF333" s="17">
        <v>35</v>
      </c>
      <c r="AG333" s="17">
        <v>0</v>
      </c>
      <c r="AH333" s="17">
        <v>0</v>
      </c>
      <c r="AI333" s="17">
        <v>5</v>
      </c>
      <c r="AJ333" s="17">
        <v>35</v>
      </c>
      <c r="AK333" s="17">
        <v>0</v>
      </c>
      <c r="AL333" s="17">
        <v>0</v>
      </c>
      <c r="AM333" s="31"/>
      <c r="AN333" s="17">
        <v>350</v>
      </c>
      <c r="AO333" s="17">
        <v>350</v>
      </c>
      <c r="AP333" s="17" t="s">
        <v>39</v>
      </c>
      <c r="AQ333" s="31" t="s">
        <v>243</v>
      </c>
      <c r="AR333" s="17">
        <v>15.9</v>
      </c>
      <c r="AS333" s="17">
        <v>199</v>
      </c>
      <c r="AT333" s="17">
        <v>428</v>
      </c>
      <c r="AU333" s="17">
        <v>179</v>
      </c>
      <c r="AV333" s="17" t="s">
        <v>40</v>
      </c>
      <c r="AW333" s="17">
        <v>50</v>
      </c>
      <c r="AX333" s="17">
        <v>2</v>
      </c>
      <c r="AY333" s="17">
        <v>9.5299999999999994</v>
      </c>
      <c r="AZ333" s="17">
        <v>71.3</v>
      </c>
      <c r="BA333" s="17">
        <v>359</v>
      </c>
      <c r="BB333" s="17">
        <v>184</v>
      </c>
      <c r="BC333" s="17">
        <v>6</v>
      </c>
      <c r="BD333" s="17">
        <v>35</v>
      </c>
      <c r="BE333" s="17">
        <v>0</v>
      </c>
      <c r="BF333" s="17">
        <v>0</v>
      </c>
      <c r="BG333" s="17">
        <v>6</v>
      </c>
      <c r="BH333" s="17">
        <v>35</v>
      </c>
      <c r="BI333" s="17">
        <v>0</v>
      </c>
      <c r="BJ333" s="17">
        <v>0</v>
      </c>
      <c r="BK333" s="31"/>
      <c r="BL333" s="31"/>
      <c r="BM333" s="17" t="s">
        <v>166</v>
      </c>
      <c r="BN333" s="17" t="s">
        <v>153</v>
      </c>
      <c r="BO333" s="31">
        <v>9.5299999999999994</v>
      </c>
      <c r="BP333" s="31">
        <v>71.3</v>
      </c>
      <c r="BQ333" s="17">
        <v>6</v>
      </c>
      <c r="BR333" s="17">
        <v>12</v>
      </c>
      <c r="BS333" s="17">
        <v>382</v>
      </c>
      <c r="BT333" s="17">
        <v>174</v>
      </c>
      <c r="BU333" s="86">
        <v>0.87306122448979584</v>
      </c>
      <c r="BV333" s="17"/>
    </row>
    <row r="334" spans="1:74">
      <c r="A334">
        <v>329</v>
      </c>
      <c r="B334" s="1">
        <v>1</v>
      </c>
      <c r="G334" t="s">
        <v>160</v>
      </c>
      <c r="H334" s="52" t="s">
        <v>844</v>
      </c>
      <c r="I334">
        <v>25.7</v>
      </c>
      <c r="J334">
        <v>25.7</v>
      </c>
      <c r="K334">
        <v>25.7</v>
      </c>
      <c r="L334">
        <v>3000</v>
      </c>
      <c r="M334">
        <v>2000</v>
      </c>
      <c r="N334">
        <v>0</v>
      </c>
      <c r="O334">
        <v>331</v>
      </c>
      <c r="P334">
        <v>350</v>
      </c>
      <c r="Q334">
        <v>350</v>
      </c>
      <c r="R334" t="s">
        <v>39</v>
      </c>
      <c r="S334" s="30" t="s">
        <v>243</v>
      </c>
      <c r="T334">
        <v>15.9</v>
      </c>
      <c r="U334">
        <v>199</v>
      </c>
      <c r="V334" s="1">
        <v>428</v>
      </c>
      <c r="W334" s="1">
        <v>179</v>
      </c>
      <c r="X334" t="s">
        <v>40</v>
      </c>
      <c r="Y334">
        <v>100</v>
      </c>
      <c r="Z334">
        <v>2</v>
      </c>
      <c r="AA334">
        <v>6.35</v>
      </c>
      <c r="AB334">
        <v>31.7</v>
      </c>
      <c r="AC334">
        <v>359</v>
      </c>
      <c r="AD334">
        <v>184</v>
      </c>
      <c r="AE334">
        <v>5</v>
      </c>
      <c r="AF334">
        <v>35</v>
      </c>
      <c r="AG334">
        <v>0</v>
      </c>
      <c r="AH334">
        <v>0</v>
      </c>
      <c r="AI334">
        <v>5</v>
      </c>
      <c r="AJ334">
        <v>35</v>
      </c>
      <c r="AK334">
        <v>0</v>
      </c>
      <c r="AL334">
        <v>0</v>
      </c>
      <c r="AN334">
        <v>350</v>
      </c>
      <c r="AO334">
        <v>350</v>
      </c>
      <c r="AP334" t="s">
        <v>39</v>
      </c>
      <c r="AQ334" s="30" t="s">
        <v>243</v>
      </c>
      <c r="AR334">
        <v>15.9</v>
      </c>
      <c r="AS334">
        <v>199</v>
      </c>
      <c r="AT334">
        <v>428</v>
      </c>
      <c r="AU334">
        <v>179</v>
      </c>
      <c r="AV334" t="s">
        <v>40</v>
      </c>
      <c r="AW334">
        <v>50</v>
      </c>
      <c r="AX334">
        <v>2</v>
      </c>
      <c r="AY334">
        <v>9.5299999999999994</v>
      </c>
      <c r="AZ334">
        <v>71.3</v>
      </c>
      <c r="BA334">
        <v>359</v>
      </c>
      <c r="BB334">
        <v>184</v>
      </c>
      <c r="BC334">
        <v>6</v>
      </c>
      <c r="BD334">
        <v>35</v>
      </c>
      <c r="BE334">
        <v>0</v>
      </c>
      <c r="BF334">
        <v>0</v>
      </c>
      <c r="BG334">
        <v>6</v>
      </c>
      <c r="BH334">
        <v>35</v>
      </c>
      <c r="BI334">
        <v>0</v>
      </c>
      <c r="BJ334">
        <v>0</v>
      </c>
      <c r="BM334" t="s">
        <v>166</v>
      </c>
      <c r="BN334" t="s">
        <v>153</v>
      </c>
      <c r="BO334" s="30">
        <v>9.5299999999999994</v>
      </c>
      <c r="BP334" s="30">
        <v>71.3</v>
      </c>
      <c r="BQ334">
        <v>6</v>
      </c>
      <c r="BR334">
        <v>12</v>
      </c>
      <c r="BS334">
        <v>382</v>
      </c>
      <c r="BT334">
        <v>174</v>
      </c>
      <c r="BU334" s="23">
        <v>0.87306122448979584</v>
      </c>
    </row>
    <row r="335" spans="1:74">
      <c r="A335">
        <v>330</v>
      </c>
      <c r="B335" s="1">
        <v>1</v>
      </c>
      <c r="G335" t="s">
        <v>160</v>
      </c>
      <c r="H335" s="52" t="s">
        <v>272</v>
      </c>
      <c r="I335">
        <v>25.7</v>
      </c>
      <c r="J335">
        <v>25.7</v>
      </c>
      <c r="K335">
        <v>25.7</v>
      </c>
      <c r="L335">
        <v>3000</v>
      </c>
      <c r="M335">
        <v>2000</v>
      </c>
      <c r="N335">
        <v>0</v>
      </c>
      <c r="O335">
        <v>0</v>
      </c>
      <c r="P335">
        <v>350</v>
      </c>
      <c r="Q335">
        <v>350</v>
      </c>
      <c r="R335" t="s">
        <v>39</v>
      </c>
      <c r="S335" s="30" t="s">
        <v>243</v>
      </c>
      <c r="T335">
        <v>15.9</v>
      </c>
      <c r="U335">
        <v>199</v>
      </c>
      <c r="V335" s="1">
        <v>428</v>
      </c>
      <c r="W335" s="1">
        <v>179</v>
      </c>
      <c r="X335" t="s">
        <v>40</v>
      </c>
      <c r="Y335">
        <v>100</v>
      </c>
      <c r="Z335">
        <v>2</v>
      </c>
      <c r="AA335">
        <v>6.35</v>
      </c>
      <c r="AB335">
        <v>31.7</v>
      </c>
      <c r="AC335">
        <v>359</v>
      </c>
      <c r="AD335">
        <v>184</v>
      </c>
      <c r="AE335">
        <v>5</v>
      </c>
      <c r="AF335">
        <v>35</v>
      </c>
      <c r="AG335">
        <v>0</v>
      </c>
      <c r="AH335">
        <v>0</v>
      </c>
      <c r="AI335">
        <v>5</v>
      </c>
      <c r="AJ335">
        <v>35</v>
      </c>
      <c r="AK335">
        <v>0</v>
      </c>
      <c r="AL335">
        <v>0</v>
      </c>
      <c r="AN335">
        <v>350</v>
      </c>
      <c r="AO335">
        <v>350</v>
      </c>
      <c r="AP335" t="s">
        <v>39</v>
      </c>
      <c r="AQ335" s="30" t="s">
        <v>243</v>
      </c>
      <c r="AR335">
        <v>15.9</v>
      </c>
      <c r="AS335">
        <v>199</v>
      </c>
      <c r="AT335">
        <v>428</v>
      </c>
      <c r="AU335">
        <v>179</v>
      </c>
      <c r="AV335" t="s">
        <v>40</v>
      </c>
      <c r="AW335">
        <v>50</v>
      </c>
      <c r="AX335">
        <v>2</v>
      </c>
      <c r="AY335">
        <v>9.5299999999999994</v>
      </c>
      <c r="AZ335">
        <v>71.3</v>
      </c>
      <c r="BA335">
        <v>359</v>
      </c>
      <c r="BB335">
        <v>184</v>
      </c>
      <c r="BC335">
        <v>6</v>
      </c>
      <c r="BD335">
        <v>35</v>
      </c>
      <c r="BE335">
        <v>2</v>
      </c>
      <c r="BF335">
        <v>35</v>
      </c>
      <c r="BG335">
        <v>6</v>
      </c>
      <c r="BH335">
        <v>35</v>
      </c>
      <c r="BI335">
        <v>2</v>
      </c>
      <c r="BJ335">
        <v>35</v>
      </c>
      <c r="BM335" t="s">
        <v>166</v>
      </c>
      <c r="BN335" t="s">
        <v>153</v>
      </c>
      <c r="BO335" s="30">
        <v>9.5299999999999994</v>
      </c>
      <c r="BP335" s="30">
        <v>71.3</v>
      </c>
      <c r="BQ335">
        <v>6</v>
      </c>
      <c r="BR335">
        <v>12</v>
      </c>
      <c r="BS335">
        <v>382</v>
      </c>
      <c r="BT335">
        <v>174</v>
      </c>
      <c r="BU335" s="23">
        <v>0.87306122448979584</v>
      </c>
    </row>
    <row r="336" spans="1:74">
      <c r="A336">
        <v>331</v>
      </c>
      <c r="B336" s="1">
        <v>1</v>
      </c>
      <c r="C336" s="17"/>
      <c r="D336" s="17"/>
      <c r="E336" s="17"/>
      <c r="F336" s="17"/>
      <c r="G336" s="17" t="s">
        <v>160</v>
      </c>
      <c r="H336" s="56" t="s">
        <v>273</v>
      </c>
      <c r="I336" s="17">
        <v>25.7</v>
      </c>
      <c r="J336" s="17">
        <v>25.7</v>
      </c>
      <c r="K336" s="17">
        <v>25.7</v>
      </c>
      <c r="L336" s="17">
        <v>3000</v>
      </c>
      <c r="M336" s="17">
        <v>2000</v>
      </c>
      <c r="N336" s="17">
        <v>0</v>
      </c>
      <c r="O336" s="17">
        <v>331</v>
      </c>
      <c r="P336" s="17">
        <v>350</v>
      </c>
      <c r="Q336" s="17">
        <v>350</v>
      </c>
      <c r="R336" s="17" t="s">
        <v>39</v>
      </c>
      <c r="S336" s="31" t="s">
        <v>243</v>
      </c>
      <c r="T336" s="17">
        <v>15.9</v>
      </c>
      <c r="U336" s="17">
        <v>199</v>
      </c>
      <c r="V336" s="7">
        <v>428</v>
      </c>
      <c r="W336" s="7">
        <v>179</v>
      </c>
      <c r="X336" s="17" t="s">
        <v>40</v>
      </c>
      <c r="Y336" s="17">
        <v>100</v>
      </c>
      <c r="Z336" s="17">
        <v>2</v>
      </c>
      <c r="AA336" s="17">
        <v>6.35</v>
      </c>
      <c r="AB336" s="17">
        <v>31.7</v>
      </c>
      <c r="AC336" s="17">
        <v>359</v>
      </c>
      <c r="AD336" s="17">
        <v>184</v>
      </c>
      <c r="AE336" s="17">
        <v>5</v>
      </c>
      <c r="AF336" s="17">
        <v>35</v>
      </c>
      <c r="AG336" s="17">
        <v>0</v>
      </c>
      <c r="AH336" s="17">
        <v>0</v>
      </c>
      <c r="AI336" s="17">
        <v>5</v>
      </c>
      <c r="AJ336" s="17">
        <v>35</v>
      </c>
      <c r="AK336" s="17">
        <v>0</v>
      </c>
      <c r="AL336" s="17">
        <v>0</v>
      </c>
      <c r="AM336" s="31"/>
      <c r="AN336" s="17">
        <v>350</v>
      </c>
      <c r="AO336" s="17">
        <v>350</v>
      </c>
      <c r="AP336" s="17" t="s">
        <v>39</v>
      </c>
      <c r="AQ336" s="31" t="s">
        <v>243</v>
      </c>
      <c r="AR336" s="17">
        <v>15.9</v>
      </c>
      <c r="AS336" s="17">
        <v>199</v>
      </c>
      <c r="AT336" s="17">
        <v>428</v>
      </c>
      <c r="AU336" s="17">
        <v>179</v>
      </c>
      <c r="AV336" s="17" t="s">
        <v>40</v>
      </c>
      <c r="AW336" s="17">
        <v>50</v>
      </c>
      <c r="AX336" s="17">
        <v>2</v>
      </c>
      <c r="AY336" s="17">
        <v>9.5299999999999994</v>
      </c>
      <c r="AZ336" s="17">
        <v>71.3</v>
      </c>
      <c r="BA336" s="17">
        <v>359</v>
      </c>
      <c r="BB336" s="17">
        <v>184</v>
      </c>
      <c r="BC336" s="17">
        <v>6</v>
      </c>
      <c r="BD336" s="17">
        <v>35</v>
      </c>
      <c r="BE336" s="17">
        <v>0</v>
      </c>
      <c r="BF336" s="17">
        <v>0</v>
      </c>
      <c r="BG336" s="17">
        <v>6</v>
      </c>
      <c r="BH336" s="17">
        <v>35</v>
      </c>
      <c r="BI336" s="17">
        <v>0</v>
      </c>
      <c r="BJ336" s="17">
        <v>0</v>
      </c>
      <c r="BK336" s="31"/>
      <c r="BL336" s="31"/>
      <c r="BM336" s="17" t="s">
        <v>444</v>
      </c>
      <c r="BN336" t="s">
        <v>153</v>
      </c>
      <c r="BO336" s="31">
        <v>9.5299999999999994</v>
      </c>
      <c r="BP336" s="31">
        <v>71.3</v>
      </c>
      <c r="BQ336" s="17">
        <v>6</v>
      </c>
      <c r="BR336" s="17">
        <v>24</v>
      </c>
      <c r="BS336" s="17">
        <v>382</v>
      </c>
      <c r="BT336" s="17">
        <v>174</v>
      </c>
      <c r="BU336" s="86">
        <v>1.7461224489795917</v>
      </c>
      <c r="BV336" s="17"/>
    </row>
    <row r="337" spans="1:74">
      <c r="A337">
        <v>332</v>
      </c>
      <c r="B337" s="1">
        <v>1</v>
      </c>
      <c r="G337" t="s">
        <v>160</v>
      </c>
      <c r="H337" s="52" t="s">
        <v>847</v>
      </c>
      <c r="I337">
        <v>25.7</v>
      </c>
      <c r="J337">
        <v>25.7</v>
      </c>
      <c r="K337">
        <v>25.7</v>
      </c>
      <c r="L337">
        <v>3000</v>
      </c>
      <c r="M337">
        <v>2000</v>
      </c>
      <c r="N337">
        <v>0</v>
      </c>
      <c r="O337">
        <v>0</v>
      </c>
      <c r="P337">
        <v>350</v>
      </c>
      <c r="Q337">
        <v>350</v>
      </c>
      <c r="R337" t="s">
        <v>153</v>
      </c>
      <c r="S337" s="30" t="s">
        <v>243</v>
      </c>
      <c r="T337">
        <v>9.5299999999999994</v>
      </c>
      <c r="U337">
        <v>71.3</v>
      </c>
      <c r="V337" s="1">
        <v>463</v>
      </c>
      <c r="W337" s="1">
        <v>178</v>
      </c>
      <c r="X337" t="s">
        <v>40</v>
      </c>
      <c r="Y337">
        <v>100</v>
      </c>
      <c r="Z337">
        <v>2</v>
      </c>
      <c r="AA337">
        <v>6.35</v>
      </c>
      <c r="AB337">
        <v>31.7</v>
      </c>
      <c r="AC337">
        <v>359</v>
      </c>
      <c r="AD337">
        <v>184</v>
      </c>
      <c r="AE337">
        <v>7</v>
      </c>
      <c r="AF337">
        <v>35</v>
      </c>
      <c r="AG337">
        <v>7</v>
      </c>
      <c r="AH337">
        <v>35</v>
      </c>
      <c r="AI337">
        <v>7</v>
      </c>
      <c r="AJ337">
        <v>35</v>
      </c>
      <c r="AK337">
        <v>7</v>
      </c>
      <c r="AL337">
        <v>35</v>
      </c>
      <c r="AN337">
        <v>350</v>
      </c>
      <c r="AO337">
        <v>350</v>
      </c>
      <c r="AP337" t="s">
        <v>39</v>
      </c>
      <c r="AQ337" s="30" t="s">
        <v>243</v>
      </c>
      <c r="AR337">
        <v>15.9</v>
      </c>
      <c r="AS337">
        <v>199</v>
      </c>
      <c r="AT337">
        <v>428</v>
      </c>
      <c r="AU337">
        <v>179</v>
      </c>
      <c r="AV337" t="s">
        <v>40</v>
      </c>
      <c r="AW337">
        <v>50</v>
      </c>
      <c r="AX337">
        <v>2</v>
      </c>
      <c r="AY337">
        <v>9.5299999999999994</v>
      </c>
      <c r="AZ337">
        <v>71.3</v>
      </c>
      <c r="BA337">
        <v>359</v>
      </c>
      <c r="BB337">
        <v>184</v>
      </c>
      <c r="BC337">
        <v>6</v>
      </c>
      <c r="BD337">
        <v>35</v>
      </c>
      <c r="BE337">
        <v>0</v>
      </c>
      <c r="BF337">
        <v>0</v>
      </c>
      <c r="BG337">
        <v>6</v>
      </c>
      <c r="BH337">
        <v>35</v>
      </c>
      <c r="BI337">
        <v>0</v>
      </c>
      <c r="BJ337">
        <v>0</v>
      </c>
      <c r="BM337" t="s">
        <v>166</v>
      </c>
      <c r="BN337" t="s">
        <v>40</v>
      </c>
      <c r="BO337" s="30">
        <v>6.35</v>
      </c>
      <c r="BP337" s="30">
        <v>31.7</v>
      </c>
      <c r="BQ337">
        <v>3</v>
      </c>
      <c r="BR337">
        <v>6</v>
      </c>
      <c r="BS337">
        <v>359</v>
      </c>
      <c r="BT337">
        <v>184</v>
      </c>
      <c r="BU337" s="23">
        <v>0.2218075801749271</v>
      </c>
    </row>
    <row r="338" spans="1:74">
      <c r="A338">
        <v>333</v>
      </c>
      <c r="B338" s="1">
        <v>2</v>
      </c>
      <c r="C338">
        <v>1170</v>
      </c>
      <c r="D338" t="s">
        <v>848</v>
      </c>
      <c r="E338">
        <v>2011</v>
      </c>
      <c r="F338" t="s">
        <v>849</v>
      </c>
      <c r="G338" t="s">
        <v>160</v>
      </c>
      <c r="H338" s="52" t="s">
        <v>850</v>
      </c>
      <c r="I338">
        <v>83.8</v>
      </c>
      <c r="J338">
        <v>83.8</v>
      </c>
      <c r="K338">
        <v>83.8</v>
      </c>
      <c r="L338">
        <v>2500</v>
      </c>
      <c r="M338">
        <v>1250</v>
      </c>
      <c r="N338">
        <v>0</v>
      </c>
      <c r="O338">
        <v>754.2</v>
      </c>
      <c r="P338">
        <v>200</v>
      </c>
      <c r="Q338">
        <v>300</v>
      </c>
      <c r="R338" t="s">
        <v>39</v>
      </c>
      <c r="S338" s="30" t="s">
        <v>278</v>
      </c>
      <c r="T338">
        <v>15.9</v>
      </c>
      <c r="U338">
        <v>199</v>
      </c>
      <c r="V338" s="1">
        <v>706.6</v>
      </c>
      <c r="W338" s="1">
        <v>205</v>
      </c>
      <c r="X338" t="s">
        <v>40</v>
      </c>
      <c r="Y338">
        <v>100</v>
      </c>
      <c r="Z338">
        <v>2</v>
      </c>
      <c r="AA338">
        <v>6.35</v>
      </c>
      <c r="AB338">
        <v>31.7</v>
      </c>
      <c r="AC338">
        <v>1115.7</v>
      </c>
      <c r="AD338">
        <v>205</v>
      </c>
      <c r="AE338">
        <v>3</v>
      </c>
      <c r="AF338">
        <v>38</v>
      </c>
      <c r="AG338">
        <v>0</v>
      </c>
      <c r="AH338">
        <v>0</v>
      </c>
      <c r="AI338">
        <v>3</v>
      </c>
      <c r="AJ338">
        <v>38</v>
      </c>
      <c r="AK338">
        <v>0</v>
      </c>
      <c r="AL338">
        <v>0</v>
      </c>
      <c r="AN338">
        <v>300</v>
      </c>
      <c r="AO338">
        <v>300</v>
      </c>
      <c r="AP338" t="s">
        <v>39</v>
      </c>
      <c r="AQ338" s="30" t="s">
        <v>278</v>
      </c>
      <c r="AR338">
        <v>15.9</v>
      </c>
      <c r="AS338">
        <v>199</v>
      </c>
      <c r="AT338">
        <v>706.6</v>
      </c>
      <c r="AU338">
        <v>205</v>
      </c>
      <c r="AV338" t="s">
        <v>40</v>
      </c>
      <c r="AW338">
        <v>100</v>
      </c>
      <c r="AX338">
        <v>2</v>
      </c>
      <c r="AY338">
        <v>9.5299999999999994</v>
      </c>
      <c r="AZ338">
        <v>71.3</v>
      </c>
      <c r="BA338">
        <v>1115.7</v>
      </c>
      <c r="BB338">
        <v>205</v>
      </c>
      <c r="BC338">
        <v>4</v>
      </c>
      <c r="BD338">
        <v>38</v>
      </c>
      <c r="BE338">
        <v>0</v>
      </c>
      <c r="BF338">
        <v>0</v>
      </c>
      <c r="BG338">
        <v>4</v>
      </c>
      <c r="BH338">
        <v>38</v>
      </c>
      <c r="BI338">
        <v>0</v>
      </c>
      <c r="BJ338">
        <v>0</v>
      </c>
      <c r="BM338" t="s">
        <v>166</v>
      </c>
      <c r="BN338" t="s">
        <v>40</v>
      </c>
      <c r="BP338" s="30">
        <v>31.7</v>
      </c>
      <c r="BQ338">
        <v>5</v>
      </c>
      <c r="BR338">
        <v>10</v>
      </c>
      <c r="BS338">
        <v>1115.7</v>
      </c>
      <c r="BT338">
        <v>205</v>
      </c>
      <c r="BU338" s="23">
        <v>0.47172619047619047</v>
      </c>
      <c r="BV338" t="s">
        <v>851</v>
      </c>
    </row>
    <row r="339" spans="1:74">
      <c r="A339">
        <v>334</v>
      </c>
      <c r="B339" s="1">
        <v>1</v>
      </c>
      <c r="C339">
        <v>1171</v>
      </c>
      <c r="D339" t="s">
        <v>852</v>
      </c>
      <c r="E339">
        <v>2011</v>
      </c>
      <c r="F339" t="s">
        <v>849</v>
      </c>
      <c r="G339" t="s">
        <v>84</v>
      </c>
      <c r="H339" s="52" t="s">
        <v>270</v>
      </c>
      <c r="I339">
        <v>33.200000000000003</v>
      </c>
      <c r="J339">
        <v>33.200000000000003</v>
      </c>
      <c r="K339">
        <v>33.200000000000003</v>
      </c>
      <c r="L339">
        <v>3200</v>
      </c>
      <c r="M339">
        <v>2830</v>
      </c>
      <c r="N339">
        <v>0</v>
      </c>
      <c r="O339">
        <v>406.70000000000005</v>
      </c>
      <c r="P339">
        <v>250</v>
      </c>
      <c r="Q339">
        <v>300</v>
      </c>
      <c r="R339" t="s">
        <v>162</v>
      </c>
      <c r="S339" s="30" t="s">
        <v>256</v>
      </c>
      <c r="T339">
        <v>22.2</v>
      </c>
      <c r="U339">
        <v>387</v>
      </c>
      <c r="V339" s="1">
        <v>537.79999999999995</v>
      </c>
      <c r="W339" s="1">
        <v>191</v>
      </c>
      <c r="X339" t="s">
        <v>153</v>
      </c>
      <c r="Y339">
        <v>100</v>
      </c>
      <c r="Z339">
        <v>2</v>
      </c>
      <c r="AA339">
        <v>9.5299999999999994</v>
      </c>
      <c r="AB339">
        <v>71.3</v>
      </c>
      <c r="AC339">
        <v>1005.2</v>
      </c>
      <c r="AD339">
        <v>182</v>
      </c>
      <c r="AE339">
        <v>4</v>
      </c>
      <c r="AF339">
        <v>40</v>
      </c>
      <c r="AG339">
        <v>0</v>
      </c>
      <c r="AH339">
        <v>0</v>
      </c>
      <c r="AI339">
        <v>4</v>
      </c>
      <c r="AJ339">
        <v>40</v>
      </c>
      <c r="AK339">
        <v>0</v>
      </c>
      <c r="AL339">
        <v>0</v>
      </c>
      <c r="AN339">
        <v>350</v>
      </c>
      <c r="AO339">
        <v>350</v>
      </c>
      <c r="AP339" t="s">
        <v>162</v>
      </c>
      <c r="AQ339" s="30" t="s">
        <v>256</v>
      </c>
      <c r="AR339">
        <v>22.2</v>
      </c>
      <c r="AS339">
        <v>387</v>
      </c>
      <c r="AT339">
        <v>537.79999999999995</v>
      </c>
      <c r="AU339">
        <v>191</v>
      </c>
      <c r="AV339" t="s">
        <v>153</v>
      </c>
      <c r="AW339">
        <v>100</v>
      </c>
      <c r="AX339">
        <v>2</v>
      </c>
      <c r="AY339">
        <v>9.5299999999999994</v>
      </c>
      <c r="AZ339">
        <v>71.3</v>
      </c>
      <c r="BA339">
        <v>1005.2</v>
      </c>
      <c r="BB339">
        <v>182</v>
      </c>
      <c r="BC339">
        <v>3</v>
      </c>
      <c r="BD339">
        <v>40</v>
      </c>
      <c r="BE339">
        <v>0</v>
      </c>
      <c r="BF339">
        <v>0</v>
      </c>
      <c r="BG339">
        <v>3</v>
      </c>
      <c r="BH339">
        <v>40</v>
      </c>
      <c r="BI339">
        <v>0</v>
      </c>
      <c r="BJ339">
        <v>0</v>
      </c>
      <c r="BK339" s="30">
        <v>40</v>
      </c>
      <c r="BL339" s="30">
        <v>2</v>
      </c>
      <c r="BM339" t="s">
        <v>166</v>
      </c>
      <c r="BN339" t="s">
        <v>153</v>
      </c>
      <c r="BP339" s="30">
        <v>71.3</v>
      </c>
      <c r="BQ339">
        <v>3</v>
      </c>
      <c r="BR339">
        <v>6</v>
      </c>
      <c r="BS339">
        <v>1005.2</v>
      </c>
      <c r="BT339">
        <v>182</v>
      </c>
      <c r="BU339" s="23">
        <v>0.55558441558441551</v>
      </c>
    </row>
    <row r="340" spans="1:74">
      <c r="A340">
        <v>335</v>
      </c>
      <c r="B340" s="1">
        <v>2</v>
      </c>
      <c r="C340">
        <v>1172</v>
      </c>
      <c r="D340" t="s">
        <v>853</v>
      </c>
      <c r="E340">
        <v>2011</v>
      </c>
      <c r="F340" t="s">
        <v>841</v>
      </c>
      <c r="G340" t="s">
        <v>160</v>
      </c>
      <c r="H340" s="52" t="s">
        <v>854</v>
      </c>
      <c r="I340">
        <v>44.1</v>
      </c>
      <c r="J340">
        <v>55.9</v>
      </c>
      <c r="K340">
        <v>55.9</v>
      </c>
      <c r="L340">
        <v>3000</v>
      </c>
      <c r="M340">
        <v>1600</v>
      </c>
      <c r="N340">
        <v>0</v>
      </c>
      <c r="O340">
        <v>1697.9625000000001</v>
      </c>
      <c r="P340">
        <v>275</v>
      </c>
      <c r="Q340">
        <v>450</v>
      </c>
      <c r="R340" t="s">
        <v>57</v>
      </c>
      <c r="S340" s="30" t="s">
        <v>256</v>
      </c>
      <c r="T340">
        <v>19.100000000000001</v>
      </c>
      <c r="U340">
        <v>287</v>
      </c>
      <c r="V340" s="1">
        <v>547</v>
      </c>
      <c r="W340" s="1">
        <v>184</v>
      </c>
      <c r="X340" t="s">
        <v>40</v>
      </c>
      <c r="Y340">
        <v>75</v>
      </c>
      <c r="Z340">
        <v>4</v>
      </c>
      <c r="AA340">
        <v>6.35</v>
      </c>
      <c r="AB340">
        <v>31.7</v>
      </c>
      <c r="AC340">
        <v>740</v>
      </c>
      <c r="AD340">
        <v>184</v>
      </c>
      <c r="AE340">
        <v>4</v>
      </c>
      <c r="AF340">
        <v>45</v>
      </c>
      <c r="AG340">
        <v>2</v>
      </c>
      <c r="AH340">
        <v>55</v>
      </c>
      <c r="AI340">
        <v>4</v>
      </c>
      <c r="AJ340">
        <v>45</v>
      </c>
      <c r="AK340">
        <v>0</v>
      </c>
      <c r="AL340">
        <v>0</v>
      </c>
      <c r="AN340">
        <v>450</v>
      </c>
      <c r="AO340">
        <v>450</v>
      </c>
      <c r="AP340" t="s">
        <v>57</v>
      </c>
      <c r="AQ340" s="30" t="s">
        <v>256</v>
      </c>
      <c r="AR340">
        <v>19.100000000000001</v>
      </c>
      <c r="AS340">
        <v>287</v>
      </c>
      <c r="AT340">
        <v>547</v>
      </c>
      <c r="AU340">
        <v>184</v>
      </c>
      <c r="AV340" t="s">
        <v>40</v>
      </c>
      <c r="AW340">
        <v>50</v>
      </c>
      <c r="AX340">
        <v>4</v>
      </c>
      <c r="AY340">
        <v>6.35</v>
      </c>
      <c r="AZ340">
        <v>31.7</v>
      </c>
      <c r="BA340">
        <v>740</v>
      </c>
      <c r="BB340">
        <v>184</v>
      </c>
      <c r="BC340">
        <v>5</v>
      </c>
      <c r="BD340">
        <v>42</v>
      </c>
      <c r="BE340">
        <v>2</v>
      </c>
      <c r="BF340">
        <v>115</v>
      </c>
      <c r="BG340">
        <v>5</v>
      </c>
      <c r="BH340">
        <v>42</v>
      </c>
      <c r="BI340">
        <v>2</v>
      </c>
      <c r="BJ340">
        <v>115</v>
      </c>
      <c r="BL340" s="30">
        <v>2</v>
      </c>
      <c r="BM340" t="s">
        <v>166</v>
      </c>
      <c r="BN340" t="s">
        <v>40</v>
      </c>
      <c r="BP340" s="30">
        <v>31.7</v>
      </c>
      <c r="BQ340">
        <v>2</v>
      </c>
      <c r="BR340">
        <v>8</v>
      </c>
      <c r="BS340">
        <v>740</v>
      </c>
      <c r="BT340">
        <v>184</v>
      </c>
      <c r="BU340" s="23">
        <v>0.16494308943089431</v>
      </c>
      <c r="BV340" t="s">
        <v>855</v>
      </c>
    </row>
    <row r="341" spans="1:74">
      <c r="A341">
        <v>336</v>
      </c>
      <c r="B341" s="1">
        <v>1</v>
      </c>
      <c r="C341">
        <v>1179</v>
      </c>
      <c r="D341" t="s">
        <v>856</v>
      </c>
      <c r="E341">
        <v>2011</v>
      </c>
      <c r="F341" t="s">
        <v>726</v>
      </c>
      <c r="G341" t="s">
        <v>160</v>
      </c>
      <c r="H341" s="52" t="s">
        <v>857</v>
      </c>
      <c r="I341">
        <v>28.2</v>
      </c>
      <c r="J341">
        <v>28.2</v>
      </c>
      <c r="K341">
        <v>28.2</v>
      </c>
      <c r="L341">
        <v>1400</v>
      </c>
      <c r="M341">
        <v>1400</v>
      </c>
      <c r="N341">
        <v>0</v>
      </c>
      <c r="O341">
        <v>0</v>
      </c>
      <c r="P341">
        <v>120</v>
      </c>
      <c r="Q341">
        <v>240</v>
      </c>
      <c r="R341" t="s">
        <v>62</v>
      </c>
      <c r="T341">
        <v>12.7</v>
      </c>
      <c r="U341">
        <v>127</v>
      </c>
      <c r="V341" s="1">
        <v>380</v>
      </c>
      <c r="W341" s="1">
        <v>205</v>
      </c>
      <c r="X341" t="s">
        <v>40</v>
      </c>
      <c r="Y341">
        <v>50</v>
      </c>
      <c r="Z341">
        <v>2</v>
      </c>
      <c r="AA341">
        <v>6.35</v>
      </c>
      <c r="AB341">
        <v>31.7</v>
      </c>
      <c r="AC341">
        <v>334</v>
      </c>
      <c r="AD341">
        <v>205</v>
      </c>
      <c r="AE341">
        <v>3</v>
      </c>
      <c r="AF341">
        <v>24</v>
      </c>
      <c r="AG341">
        <v>2</v>
      </c>
      <c r="AH341">
        <v>36</v>
      </c>
      <c r="AI341">
        <v>3</v>
      </c>
      <c r="AJ341">
        <v>24</v>
      </c>
      <c r="AK341">
        <v>2</v>
      </c>
      <c r="AL341">
        <v>36</v>
      </c>
      <c r="AN341">
        <v>360</v>
      </c>
      <c r="AO341">
        <v>240</v>
      </c>
      <c r="AP341" t="s">
        <v>62</v>
      </c>
      <c r="AR341">
        <v>12.7</v>
      </c>
      <c r="AS341">
        <v>127</v>
      </c>
      <c r="AT341">
        <v>380</v>
      </c>
      <c r="AU341">
        <v>205</v>
      </c>
      <c r="AV341" t="s">
        <v>40</v>
      </c>
      <c r="AW341">
        <v>50</v>
      </c>
      <c r="AX341">
        <v>2</v>
      </c>
      <c r="AY341">
        <v>6.35</v>
      </c>
      <c r="AZ341">
        <v>31.7</v>
      </c>
      <c r="BA341">
        <v>334</v>
      </c>
      <c r="BB341">
        <v>205</v>
      </c>
      <c r="BC341">
        <v>5</v>
      </c>
      <c r="BD341">
        <v>24</v>
      </c>
      <c r="BE341">
        <v>0</v>
      </c>
      <c r="BF341">
        <v>0</v>
      </c>
      <c r="BG341">
        <v>5</v>
      </c>
      <c r="BH341">
        <v>24</v>
      </c>
      <c r="BI341">
        <v>0</v>
      </c>
      <c r="BJ341">
        <v>0</v>
      </c>
      <c r="BM341" t="s">
        <v>166</v>
      </c>
      <c r="BN341" t="s">
        <v>40</v>
      </c>
      <c r="BP341" s="30">
        <v>31.7</v>
      </c>
      <c r="BQ341">
        <v>2</v>
      </c>
      <c r="BR341">
        <v>4</v>
      </c>
      <c r="BS341">
        <v>334</v>
      </c>
      <c r="BT341">
        <v>205</v>
      </c>
      <c r="BU341" s="23">
        <v>0.21582244008714599</v>
      </c>
    </row>
    <row r="342" spans="1:74">
      <c r="A342">
        <v>337</v>
      </c>
      <c r="B342" s="1">
        <v>1</v>
      </c>
      <c r="G342" t="s">
        <v>160</v>
      </c>
      <c r="H342" s="52" t="s">
        <v>858</v>
      </c>
      <c r="I342">
        <v>28.2</v>
      </c>
      <c r="J342">
        <v>28.2</v>
      </c>
      <c r="K342">
        <v>28.2</v>
      </c>
      <c r="L342">
        <v>1400</v>
      </c>
      <c r="M342">
        <v>1400</v>
      </c>
      <c r="N342">
        <v>0</v>
      </c>
      <c r="O342">
        <v>0</v>
      </c>
      <c r="P342">
        <v>120</v>
      </c>
      <c r="Q342">
        <v>340</v>
      </c>
      <c r="R342" t="s">
        <v>62</v>
      </c>
      <c r="T342">
        <v>12.7</v>
      </c>
      <c r="U342">
        <v>127</v>
      </c>
      <c r="V342" s="1">
        <v>380</v>
      </c>
      <c r="W342" s="1">
        <v>205</v>
      </c>
      <c r="X342" t="s">
        <v>40</v>
      </c>
      <c r="Y342">
        <v>50</v>
      </c>
      <c r="Z342">
        <v>2</v>
      </c>
      <c r="AA342">
        <v>6.35</v>
      </c>
      <c r="AB342">
        <v>31.7</v>
      </c>
      <c r="AC342">
        <v>334</v>
      </c>
      <c r="AD342">
        <v>205</v>
      </c>
      <c r="AE342">
        <v>3</v>
      </c>
      <c r="AF342">
        <v>24</v>
      </c>
      <c r="AG342">
        <v>0</v>
      </c>
      <c r="AH342">
        <v>0</v>
      </c>
      <c r="AI342">
        <v>3</v>
      </c>
      <c r="AJ342">
        <v>24</v>
      </c>
      <c r="AK342">
        <v>0</v>
      </c>
      <c r="AL342">
        <v>0</v>
      </c>
      <c r="AN342">
        <v>360</v>
      </c>
      <c r="AO342">
        <v>170</v>
      </c>
      <c r="AP342" t="s">
        <v>62</v>
      </c>
      <c r="AR342">
        <v>12.7</v>
      </c>
      <c r="AS342">
        <v>127</v>
      </c>
      <c r="AT342">
        <v>380</v>
      </c>
      <c r="AU342">
        <v>205</v>
      </c>
      <c r="AV342" t="s">
        <v>40</v>
      </c>
      <c r="AW342">
        <v>50</v>
      </c>
      <c r="AX342">
        <v>2</v>
      </c>
      <c r="AY342">
        <v>6.35</v>
      </c>
      <c r="AZ342">
        <v>31.7</v>
      </c>
      <c r="BA342">
        <v>334</v>
      </c>
      <c r="BB342">
        <v>205</v>
      </c>
      <c r="BC342">
        <v>7</v>
      </c>
      <c r="BD342">
        <v>24</v>
      </c>
      <c r="BE342">
        <v>0</v>
      </c>
      <c r="BF342">
        <v>0</v>
      </c>
      <c r="BG342" s="103">
        <v>7</v>
      </c>
      <c r="BH342">
        <v>24</v>
      </c>
      <c r="BI342">
        <v>0</v>
      </c>
      <c r="BJ342">
        <v>0</v>
      </c>
      <c r="BM342" t="s">
        <v>166</v>
      </c>
      <c r="BN342" t="s">
        <v>40</v>
      </c>
      <c r="BP342" s="30">
        <v>31.7</v>
      </c>
      <c r="BQ342">
        <v>4</v>
      </c>
      <c r="BR342">
        <v>8</v>
      </c>
      <c r="BS342">
        <v>334</v>
      </c>
      <c r="BT342">
        <v>205</v>
      </c>
      <c r="BU342" s="23">
        <v>0.24124809741248096</v>
      </c>
    </row>
    <row r="343" spans="1:74">
      <c r="A343">
        <v>338</v>
      </c>
      <c r="B343" s="1">
        <v>1</v>
      </c>
      <c r="C343">
        <v>1180</v>
      </c>
      <c r="D343" t="s">
        <v>859</v>
      </c>
      <c r="E343">
        <v>2011</v>
      </c>
      <c r="F343" t="s">
        <v>726</v>
      </c>
      <c r="G343" t="s">
        <v>160</v>
      </c>
      <c r="H343" s="52" t="s">
        <v>315</v>
      </c>
      <c r="I343">
        <v>38.6</v>
      </c>
      <c r="J343">
        <v>38.6</v>
      </c>
      <c r="K343">
        <v>38.6</v>
      </c>
      <c r="L343">
        <v>3200</v>
      </c>
      <c r="M343">
        <v>2400</v>
      </c>
      <c r="N343">
        <v>0</v>
      </c>
      <c r="O343">
        <v>412.8</v>
      </c>
      <c r="P343">
        <v>250</v>
      </c>
      <c r="Q343">
        <v>400</v>
      </c>
      <c r="R343" t="s">
        <v>62</v>
      </c>
      <c r="S343" s="30" t="s">
        <v>76</v>
      </c>
      <c r="T343">
        <v>12.7</v>
      </c>
      <c r="U343">
        <v>127</v>
      </c>
      <c r="V343" s="1">
        <v>371</v>
      </c>
      <c r="W343" s="1">
        <v>205</v>
      </c>
      <c r="X343" t="s">
        <v>153</v>
      </c>
      <c r="Y343">
        <v>200</v>
      </c>
      <c r="Z343">
        <v>2</v>
      </c>
      <c r="AA343">
        <v>9.5299999999999994</v>
      </c>
      <c r="AB343">
        <v>71.3</v>
      </c>
      <c r="AC343">
        <v>367</v>
      </c>
      <c r="AD343">
        <v>205</v>
      </c>
      <c r="AE343">
        <v>5</v>
      </c>
      <c r="AF343">
        <v>38</v>
      </c>
      <c r="AG343">
        <v>2</v>
      </c>
      <c r="AH343">
        <v>39</v>
      </c>
      <c r="AI343">
        <v>5</v>
      </c>
      <c r="AJ343">
        <v>38</v>
      </c>
      <c r="AK343">
        <v>2</v>
      </c>
      <c r="AL343">
        <v>39</v>
      </c>
      <c r="AN343">
        <v>350</v>
      </c>
      <c r="AO343">
        <v>350</v>
      </c>
      <c r="AP343" t="s">
        <v>39</v>
      </c>
      <c r="AQ343" s="30" t="s">
        <v>76</v>
      </c>
      <c r="AR343">
        <v>15.9</v>
      </c>
      <c r="AS343">
        <v>199</v>
      </c>
      <c r="AT343">
        <v>379</v>
      </c>
      <c r="AU343">
        <v>205</v>
      </c>
      <c r="AV343" t="s">
        <v>153</v>
      </c>
      <c r="AW343">
        <v>100</v>
      </c>
      <c r="AX343">
        <v>2</v>
      </c>
      <c r="AY343">
        <v>9.5299999999999994</v>
      </c>
      <c r="AZ343">
        <v>71.3</v>
      </c>
      <c r="BA343">
        <v>367</v>
      </c>
      <c r="BB343">
        <v>205</v>
      </c>
      <c r="BC343">
        <v>4</v>
      </c>
      <c r="BD343">
        <v>43</v>
      </c>
      <c r="BE343">
        <v>2</v>
      </c>
      <c r="BF343">
        <v>52</v>
      </c>
      <c r="BG343">
        <v>4</v>
      </c>
      <c r="BH343">
        <v>43</v>
      </c>
      <c r="BI343">
        <v>2</v>
      </c>
      <c r="BJ343">
        <v>52</v>
      </c>
      <c r="BM343" t="s">
        <v>166</v>
      </c>
      <c r="BN343" t="s">
        <v>153</v>
      </c>
      <c r="BP343" s="30">
        <v>71.3</v>
      </c>
      <c r="BQ343">
        <v>2</v>
      </c>
      <c r="BR343">
        <v>4</v>
      </c>
      <c r="BS343">
        <v>367</v>
      </c>
      <c r="BT343">
        <v>205</v>
      </c>
      <c r="BU343" s="23">
        <v>0.27007575757575758</v>
      </c>
    </row>
    <row r="344" spans="1:74">
      <c r="A344">
        <v>339</v>
      </c>
      <c r="B344" s="1">
        <v>1</v>
      </c>
      <c r="G344" t="s">
        <v>160</v>
      </c>
      <c r="H344" s="52" t="s">
        <v>299</v>
      </c>
      <c r="I344">
        <v>37.9</v>
      </c>
      <c r="J344">
        <v>37.9</v>
      </c>
      <c r="K344">
        <v>37.9</v>
      </c>
      <c r="L344">
        <v>3200</v>
      </c>
      <c r="M344">
        <v>2400</v>
      </c>
      <c r="N344">
        <v>0</v>
      </c>
      <c r="O344">
        <v>412.8</v>
      </c>
      <c r="P344">
        <v>250</v>
      </c>
      <c r="Q344">
        <v>400</v>
      </c>
      <c r="R344" t="s">
        <v>62</v>
      </c>
      <c r="S344" s="30" t="s">
        <v>76</v>
      </c>
      <c r="T344">
        <v>12.7</v>
      </c>
      <c r="U344">
        <v>127</v>
      </c>
      <c r="V344" s="1">
        <v>371</v>
      </c>
      <c r="W344" s="1">
        <v>205</v>
      </c>
      <c r="X344" t="s">
        <v>153</v>
      </c>
      <c r="Y344">
        <v>200</v>
      </c>
      <c r="Z344">
        <v>2</v>
      </c>
      <c r="AA344">
        <v>9.5299999999999994</v>
      </c>
      <c r="AB344">
        <v>71.3</v>
      </c>
      <c r="AC344">
        <v>367</v>
      </c>
      <c r="AD344">
        <v>205</v>
      </c>
      <c r="AE344">
        <v>5</v>
      </c>
      <c r="AF344">
        <v>38</v>
      </c>
      <c r="AG344">
        <v>2</v>
      </c>
      <c r="AH344">
        <v>39</v>
      </c>
      <c r="AI344">
        <v>5</v>
      </c>
      <c r="AJ344">
        <v>38</v>
      </c>
      <c r="AK344">
        <v>2</v>
      </c>
      <c r="AL344">
        <v>39</v>
      </c>
      <c r="AN344">
        <v>350</v>
      </c>
      <c r="AO344">
        <v>350</v>
      </c>
      <c r="AP344" t="s">
        <v>62</v>
      </c>
      <c r="AQ344" s="30" t="s">
        <v>76</v>
      </c>
      <c r="AR344">
        <v>12.7</v>
      </c>
      <c r="AS344">
        <v>127</v>
      </c>
      <c r="AT344">
        <v>371</v>
      </c>
      <c r="AU344">
        <v>205</v>
      </c>
      <c r="AV344" t="s">
        <v>153</v>
      </c>
      <c r="AW344">
        <v>100</v>
      </c>
      <c r="AX344">
        <v>2</v>
      </c>
      <c r="AY344">
        <v>9.5299999999999994</v>
      </c>
      <c r="AZ344">
        <v>71.3</v>
      </c>
      <c r="BA344">
        <v>367</v>
      </c>
      <c r="BB344">
        <v>205</v>
      </c>
      <c r="BC344">
        <v>4</v>
      </c>
      <c r="BD344">
        <v>43</v>
      </c>
      <c r="BE344">
        <v>2</v>
      </c>
      <c r="BF344">
        <v>52</v>
      </c>
      <c r="BG344">
        <v>4</v>
      </c>
      <c r="BH344">
        <v>43</v>
      </c>
      <c r="BI344">
        <v>2</v>
      </c>
      <c r="BJ344">
        <v>52</v>
      </c>
      <c r="BM344" t="s">
        <v>166</v>
      </c>
      <c r="BN344" t="s">
        <v>153</v>
      </c>
      <c r="BP344" s="30">
        <v>71.3</v>
      </c>
      <c r="BQ344">
        <v>2</v>
      </c>
      <c r="BR344">
        <v>4</v>
      </c>
      <c r="BS344">
        <v>367</v>
      </c>
      <c r="BT344">
        <v>205</v>
      </c>
      <c r="BU344" s="23">
        <v>0.27007575757575758</v>
      </c>
    </row>
    <row r="345" spans="1:74">
      <c r="A345">
        <v>340</v>
      </c>
      <c r="B345" s="1">
        <v>1</v>
      </c>
      <c r="G345" t="s">
        <v>160</v>
      </c>
      <c r="H345" s="52" t="s">
        <v>419</v>
      </c>
      <c r="I345">
        <v>38.700000000000003</v>
      </c>
      <c r="J345">
        <v>38.700000000000003</v>
      </c>
      <c r="K345">
        <v>38.700000000000003</v>
      </c>
      <c r="L345">
        <v>3200</v>
      </c>
      <c r="M345">
        <v>2400</v>
      </c>
      <c r="N345">
        <v>0</v>
      </c>
      <c r="O345">
        <v>-412.8</v>
      </c>
      <c r="P345">
        <v>250</v>
      </c>
      <c r="Q345">
        <v>400</v>
      </c>
      <c r="R345" t="s">
        <v>62</v>
      </c>
      <c r="S345" s="30" t="s">
        <v>76</v>
      </c>
      <c r="T345">
        <v>12.7</v>
      </c>
      <c r="U345">
        <v>127</v>
      </c>
      <c r="V345" s="1">
        <v>371</v>
      </c>
      <c r="W345" s="1">
        <v>205</v>
      </c>
      <c r="X345" t="s">
        <v>153</v>
      </c>
      <c r="Y345">
        <v>200</v>
      </c>
      <c r="Z345">
        <v>2</v>
      </c>
      <c r="AA345">
        <v>9.5299999999999994</v>
      </c>
      <c r="AB345">
        <v>71.3</v>
      </c>
      <c r="AC345">
        <v>367</v>
      </c>
      <c r="AD345">
        <v>205</v>
      </c>
      <c r="AE345">
        <v>5</v>
      </c>
      <c r="AF345">
        <v>38</v>
      </c>
      <c r="AG345">
        <v>2</v>
      </c>
      <c r="AH345">
        <v>39</v>
      </c>
      <c r="AI345">
        <v>5</v>
      </c>
      <c r="AJ345">
        <v>38</v>
      </c>
      <c r="AK345">
        <v>2</v>
      </c>
      <c r="AL345">
        <v>39</v>
      </c>
      <c r="AN345">
        <v>350</v>
      </c>
      <c r="AO345">
        <v>350</v>
      </c>
      <c r="AP345" t="s">
        <v>57</v>
      </c>
      <c r="AQ345" s="30" t="s">
        <v>76</v>
      </c>
      <c r="AR345">
        <v>19.100000000000001</v>
      </c>
      <c r="AS345">
        <v>287</v>
      </c>
      <c r="AT345">
        <v>388</v>
      </c>
      <c r="AU345">
        <v>205</v>
      </c>
      <c r="AV345" t="s">
        <v>153</v>
      </c>
      <c r="AW345">
        <v>100</v>
      </c>
      <c r="AX345">
        <v>2</v>
      </c>
      <c r="AY345">
        <v>9.5299999999999994</v>
      </c>
      <c r="AZ345">
        <v>71.3</v>
      </c>
      <c r="BA345">
        <v>367</v>
      </c>
      <c r="BB345">
        <v>205</v>
      </c>
      <c r="BC345">
        <v>5</v>
      </c>
      <c r="BD345">
        <v>43</v>
      </c>
      <c r="BE345">
        <v>2</v>
      </c>
      <c r="BF345">
        <v>52</v>
      </c>
      <c r="BG345">
        <v>5</v>
      </c>
      <c r="BH345">
        <v>43</v>
      </c>
      <c r="BI345">
        <v>2</v>
      </c>
      <c r="BJ345">
        <v>52</v>
      </c>
      <c r="BM345" t="s">
        <v>166</v>
      </c>
      <c r="BN345" t="s">
        <v>153</v>
      </c>
      <c r="BP345" s="30">
        <v>71.3</v>
      </c>
      <c r="BQ345">
        <v>2</v>
      </c>
      <c r="BR345">
        <v>4</v>
      </c>
      <c r="BS345">
        <v>367</v>
      </c>
      <c r="BT345">
        <v>205</v>
      </c>
      <c r="BU345" s="23">
        <v>0.27007575757575758</v>
      </c>
    </row>
    <row r="346" spans="1:74">
      <c r="A346">
        <v>341</v>
      </c>
      <c r="B346" s="1">
        <v>1</v>
      </c>
      <c r="G346" t="s">
        <v>160</v>
      </c>
      <c r="H346" s="52" t="s">
        <v>420</v>
      </c>
      <c r="I346">
        <v>39.299999999999997</v>
      </c>
      <c r="J346">
        <v>39.299999999999997</v>
      </c>
      <c r="K346">
        <v>39.299999999999997</v>
      </c>
      <c r="L346">
        <v>3200</v>
      </c>
      <c r="M346">
        <v>2400</v>
      </c>
      <c r="N346">
        <v>0</v>
      </c>
      <c r="O346">
        <v>412.8</v>
      </c>
      <c r="P346">
        <v>250</v>
      </c>
      <c r="Q346">
        <v>600</v>
      </c>
      <c r="R346" t="s">
        <v>62</v>
      </c>
      <c r="S346" s="30" t="s">
        <v>76</v>
      </c>
      <c r="T346">
        <v>12.7</v>
      </c>
      <c r="U346">
        <v>127</v>
      </c>
      <c r="V346" s="1">
        <v>371</v>
      </c>
      <c r="W346" s="1">
        <v>205</v>
      </c>
      <c r="X346" t="s">
        <v>153</v>
      </c>
      <c r="Y346">
        <v>200</v>
      </c>
      <c r="Z346">
        <v>2</v>
      </c>
      <c r="AA346">
        <v>9.5299999999999994</v>
      </c>
      <c r="AB346">
        <v>71.3</v>
      </c>
      <c r="AC346">
        <v>367</v>
      </c>
      <c r="AD346">
        <v>205</v>
      </c>
      <c r="AE346">
        <v>5</v>
      </c>
      <c r="AF346">
        <v>38</v>
      </c>
      <c r="AG346">
        <v>2</v>
      </c>
      <c r="AH346">
        <v>39</v>
      </c>
      <c r="AI346">
        <v>5</v>
      </c>
      <c r="AJ346">
        <v>38</v>
      </c>
      <c r="AK346">
        <v>2</v>
      </c>
      <c r="AL346">
        <v>39</v>
      </c>
      <c r="AN346">
        <v>350</v>
      </c>
      <c r="AO346">
        <v>350</v>
      </c>
      <c r="AP346" t="s">
        <v>39</v>
      </c>
      <c r="AQ346" s="30" t="s">
        <v>76</v>
      </c>
      <c r="AR346">
        <v>15.9</v>
      </c>
      <c r="AS346">
        <v>199</v>
      </c>
      <c r="AT346">
        <v>379</v>
      </c>
      <c r="AU346">
        <v>205</v>
      </c>
      <c r="AV346" t="s">
        <v>153</v>
      </c>
      <c r="AW346">
        <v>100</v>
      </c>
      <c r="AX346">
        <v>2</v>
      </c>
      <c r="AY346">
        <v>9.5299999999999994</v>
      </c>
      <c r="AZ346">
        <v>71.3</v>
      </c>
      <c r="BA346">
        <v>367</v>
      </c>
      <c r="BB346">
        <v>205</v>
      </c>
      <c r="BC346">
        <v>6</v>
      </c>
      <c r="BD346">
        <v>43</v>
      </c>
      <c r="BE346">
        <v>2</v>
      </c>
      <c r="BF346">
        <v>52</v>
      </c>
      <c r="BG346">
        <v>6</v>
      </c>
      <c r="BH346">
        <v>43</v>
      </c>
      <c r="BI346">
        <v>2</v>
      </c>
      <c r="BJ346">
        <v>52</v>
      </c>
      <c r="BM346" t="s">
        <v>166</v>
      </c>
      <c r="BN346" t="s">
        <v>153</v>
      </c>
      <c r="BP346" s="30">
        <v>71.3</v>
      </c>
      <c r="BQ346">
        <v>2</v>
      </c>
      <c r="BR346">
        <v>4</v>
      </c>
      <c r="BS346">
        <v>367</v>
      </c>
      <c r="BT346">
        <v>205</v>
      </c>
      <c r="BU346" s="23">
        <v>0.16241457858769931</v>
      </c>
    </row>
    <row r="347" spans="1:74">
      <c r="A347">
        <v>342</v>
      </c>
      <c r="B347" s="1">
        <v>1</v>
      </c>
      <c r="C347">
        <v>1181</v>
      </c>
      <c r="D347" t="s">
        <v>860</v>
      </c>
      <c r="E347">
        <v>2011</v>
      </c>
      <c r="F347" t="s">
        <v>726</v>
      </c>
      <c r="G347" t="s">
        <v>160</v>
      </c>
      <c r="H347" s="52" t="s">
        <v>861</v>
      </c>
      <c r="I347">
        <v>49.7</v>
      </c>
      <c r="J347">
        <v>68.099999999999994</v>
      </c>
      <c r="K347">
        <v>68.099999999999994</v>
      </c>
      <c r="L347">
        <v>3200</v>
      </c>
      <c r="M347">
        <v>1400</v>
      </c>
      <c r="N347">
        <v>0</v>
      </c>
      <c r="O347">
        <v>1198.56</v>
      </c>
      <c r="P347">
        <v>300</v>
      </c>
      <c r="Q347">
        <v>360</v>
      </c>
      <c r="R347" t="s">
        <v>39</v>
      </c>
      <c r="S347" s="30" t="s">
        <v>256</v>
      </c>
      <c r="T347">
        <v>15.9</v>
      </c>
      <c r="U347">
        <v>199</v>
      </c>
      <c r="V347" s="1">
        <v>542</v>
      </c>
      <c r="W347" s="1">
        <v>197</v>
      </c>
      <c r="X347" t="s">
        <v>40</v>
      </c>
      <c r="Y347">
        <v>75</v>
      </c>
      <c r="Z347">
        <v>4</v>
      </c>
      <c r="AA347">
        <v>6.35</v>
      </c>
      <c r="AB347">
        <v>31.7</v>
      </c>
      <c r="AC347">
        <v>695</v>
      </c>
      <c r="AD347">
        <v>178</v>
      </c>
      <c r="AE347">
        <v>6</v>
      </c>
      <c r="AF347">
        <v>54</v>
      </c>
      <c r="AG347">
        <v>3</v>
      </c>
      <c r="AH347">
        <v>50</v>
      </c>
      <c r="AI347">
        <v>6</v>
      </c>
      <c r="AJ347">
        <v>54</v>
      </c>
      <c r="AK347">
        <v>3</v>
      </c>
      <c r="AL347">
        <v>50</v>
      </c>
      <c r="AN347">
        <v>400</v>
      </c>
      <c r="AO347">
        <v>400</v>
      </c>
      <c r="AP347" t="s">
        <v>39</v>
      </c>
      <c r="AQ347" s="30" t="s">
        <v>256</v>
      </c>
      <c r="AR347">
        <v>15.9</v>
      </c>
      <c r="AS347">
        <v>199</v>
      </c>
      <c r="AT347">
        <v>542</v>
      </c>
      <c r="AU347">
        <v>197</v>
      </c>
      <c r="AV347" t="s">
        <v>40</v>
      </c>
      <c r="AW347">
        <v>50</v>
      </c>
      <c r="AX347">
        <v>4</v>
      </c>
      <c r="AY347">
        <v>6.35</v>
      </c>
      <c r="AZ347">
        <v>31.7</v>
      </c>
      <c r="BA347">
        <v>695</v>
      </c>
      <c r="BB347">
        <v>178</v>
      </c>
      <c r="BC347">
        <v>6</v>
      </c>
      <c r="BD347">
        <v>36</v>
      </c>
      <c r="BE347">
        <v>2</v>
      </c>
      <c r="BF347">
        <v>42</v>
      </c>
      <c r="BG347">
        <v>6</v>
      </c>
      <c r="BH347">
        <v>36</v>
      </c>
      <c r="BI347">
        <v>2</v>
      </c>
      <c r="BJ347">
        <v>42</v>
      </c>
      <c r="BK347" s="30">
        <v>90</v>
      </c>
      <c r="BL347" s="30">
        <v>4</v>
      </c>
      <c r="BM347" t="s">
        <v>166</v>
      </c>
      <c r="BN347" t="s">
        <v>40</v>
      </c>
      <c r="BP347" s="30">
        <v>31.7</v>
      </c>
      <c r="BQ347">
        <v>5</v>
      </c>
      <c r="BR347">
        <v>10</v>
      </c>
      <c r="BS347">
        <v>695</v>
      </c>
      <c r="BT347">
        <v>178</v>
      </c>
      <c r="BU347" s="23">
        <v>0.36242378048780488</v>
      </c>
    </row>
    <row r="348" spans="1:74">
      <c r="A348">
        <v>343</v>
      </c>
      <c r="B348" s="1">
        <v>5</v>
      </c>
      <c r="G348" t="s">
        <v>160</v>
      </c>
      <c r="H348" s="52" t="s">
        <v>862</v>
      </c>
      <c r="I348">
        <v>52.3</v>
      </c>
      <c r="J348">
        <v>71.400000000000006</v>
      </c>
      <c r="K348">
        <v>71.400000000000006</v>
      </c>
      <c r="L348">
        <v>3200</v>
      </c>
      <c r="M348">
        <v>1400</v>
      </c>
      <c r="N348">
        <v>0</v>
      </c>
      <c r="O348">
        <v>1256.6400000000001</v>
      </c>
      <c r="P348">
        <v>300</v>
      </c>
      <c r="Q348">
        <v>360</v>
      </c>
      <c r="R348" t="s">
        <v>39</v>
      </c>
      <c r="S348" s="30" t="s">
        <v>256</v>
      </c>
      <c r="T348">
        <v>15.9</v>
      </c>
      <c r="U348">
        <v>199</v>
      </c>
      <c r="V348" s="1">
        <v>542</v>
      </c>
      <c r="W348" s="1">
        <v>197</v>
      </c>
      <c r="X348" t="s">
        <v>40</v>
      </c>
      <c r="Y348">
        <v>75</v>
      </c>
      <c r="Z348">
        <v>4</v>
      </c>
      <c r="AA348">
        <v>6.35</v>
      </c>
      <c r="AB348">
        <v>31.7</v>
      </c>
      <c r="AC348">
        <v>695</v>
      </c>
      <c r="AD348">
        <v>178</v>
      </c>
      <c r="AE348">
        <v>6</v>
      </c>
      <c r="AF348">
        <v>54</v>
      </c>
      <c r="AG348">
        <v>3</v>
      </c>
      <c r="AH348">
        <v>50</v>
      </c>
      <c r="AI348">
        <v>6</v>
      </c>
      <c r="AJ348">
        <v>54</v>
      </c>
      <c r="AK348">
        <v>3</v>
      </c>
      <c r="AL348">
        <v>50</v>
      </c>
      <c r="AN348">
        <v>400</v>
      </c>
      <c r="AO348">
        <v>400</v>
      </c>
      <c r="AP348" t="s">
        <v>39</v>
      </c>
      <c r="AQ348" s="30" t="s">
        <v>256</v>
      </c>
      <c r="AR348">
        <v>15.9</v>
      </c>
      <c r="AS348">
        <v>199</v>
      </c>
      <c r="AT348">
        <v>542</v>
      </c>
      <c r="AU348">
        <v>197</v>
      </c>
      <c r="AV348" t="s">
        <v>40</v>
      </c>
      <c r="AW348">
        <v>50</v>
      </c>
      <c r="AX348">
        <v>4</v>
      </c>
      <c r="AY348">
        <v>6.35</v>
      </c>
      <c r="AZ348">
        <v>31.7</v>
      </c>
      <c r="BA348">
        <v>695</v>
      </c>
      <c r="BB348">
        <v>178</v>
      </c>
      <c r="BC348">
        <v>6</v>
      </c>
      <c r="BD348">
        <v>36</v>
      </c>
      <c r="BE348">
        <v>2</v>
      </c>
      <c r="BF348">
        <v>42</v>
      </c>
      <c r="BG348">
        <v>6</v>
      </c>
      <c r="BH348">
        <v>36</v>
      </c>
      <c r="BI348">
        <v>2</v>
      </c>
      <c r="BJ348">
        <v>42</v>
      </c>
      <c r="BK348" s="30">
        <v>90</v>
      </c>
      <c r="BL348" s="30">
        <v>4</v>
      </c>
      <c r="BM348" t="s">
        <v>166</v>
      </c>
      <c r="BN348" t="s">
        <v>40</v>
      </c>
      <c r="BP348" s="30">
        <v>31.7</v>
      </c>
      <c r="BQ348">
        <v>5</v>
      </c>
      <c r="BR348">
        <v>10</v>
      </c>
      <c r="BS348">
        <v>695</v>
      </c>
      <c r="BT348">
        <v>178</v>
      </c>
      <c r="BU348" s="23">
        <v>0.36242378048780488</v>
      </c>
    </row>
    <row r="349" spans="1:74">
      <c r="A349">
        <v>344</v>
      </c>
      <c r="B349" s="1">
        <v>1</v>
      </c>
      <c r="G349" t="s">
        <v>160</v>
      </c>
      <c r="H349" s="52" t="s">
        <v>863</v>
      </c>
      <c r="I349">
        <v>52.3</v>
      </c>
      <c r="J349">
        <v>71.400000000000006</v>
      </c>
      <c r="K349">
        <v>71.400000000000006</v>
      </c>
      <c r="L349">
        <v>3200</v>
      </c>
      <c r="M349">
        <v>1400</v>
      </c>
      <c r="N349">
        <v>0</v>
      </c>
      <c r="O349">
        <v>1256.6400000000001</v>
      </c>
      <c r="P349">
        <v>300</v>
      </c>
      <c r="Q349">
        <v>360</v>
      </c>
      <c r="R349" t="s">
        <v>39</v>
      </c>
      <c r="S349" s="30" t="s">
        <v>256</v>
      </c>
      <c r="T349">
        <v>15.9</v>
      </c>
      <c r="U349">
        <v>199</v>
      </c>
      <c r="V349" s="1">
        <v>542</v>
      </c>
      <c r="W349" s="1">
        <v>197</v>
      </c>
      <c r="X349" t="s">
        <v>40</v>
      </c>
      <c r="Y349">
        <v>75</v>
      </c>
      <c r="Z349">
        <v>4</v>
      </c>
      <c r="AA349">
        <v>6.35</v>
      </c>
      <c r="AB349">
        <v>31.7</v>
      </c>
      <c r="AC349">
        <v>695</v>
      </c>
      <c r="AD349">
        <v>178</v>
      </c>
      <c r="AE349">
        <v>6</v>
      </c>
      <c r="AF349">
        <v>54</v>
      </c>
      <c r="AG349">
        <v>3</v>
      </c>
      <c r="AH349">
        <v>50</v>
      </c>
      <c r="AI349">
        <v>6</v>
      </c>
      <c r="AJ349">
        <v>54</v>
      </c>
      <c r="AK349">
        <v>3</v>
      </c>
      <c r="AL349">
        <v>50</v>
      </c>
      <c r="AN349">
        <v>400</v>
      </c>
      <c r="AO349">
        <v>400</v>
      </c>
      <c r="AP349" t="s">
        <v>39</v>
      </c>
      <c r="AQ349" s="30" t="s">
        <v>256</v>
      </c>
      <c r="AR349">
        <v>15.9</v>
      </c>
      <c r="AS349">
        <v>199</v>
      </c>
      <c r="AT349">
        <v>542</v>
      </c>
      <c r="AU349">
        <v>197</v>
      </c>
      <c r="AV349" t="s">
        <v>40</v>
      </c>
      <c r="AW349">
        <v>50</v>
      </c>
      <c r="AX349">
        <v>4</v>
      </c>
      <c r="AY349">
        <v>6.35</v>
      </c>
      <c r="AZ349">
        <v>31.7</v>
      </c>
      <c r="BA349">
        <v>695</v>
      </c>
      <c r="BB349">
        <v>178</v>
      </c>
      <c r="BC349">
        <v>4</v>
      </c>
      <c r="BD349">
        <v>36</v>
      </c>
      <c r="BE349">
        <v>2</v>
      </c>
      <c r="BF349">
        <v>119</v>
      </c>
      <c r="BG349">
        <v>4</v>
      </c>
      <c r="BH349">
        <v>36</v>
      </c>
      <c r="BI349">
        <v>2</v>
      </c>
      <c r="BJ349">
        <v>119</v>
      </c>
      <c r="BM349" t="s">
        <v>166</v>
      </c>
      <c r="BN349" t="s">
        <v>40</v>
      </c>
      <c r="BP349" s="30">
        <v>31.7</v>
      </c>
      <c r="BQ349">
        <v>5</v>
      </c>
      <c r="BR349">
        <v>10</v>
      </c>
      <c r="BS349">
        <v>695</v>
      </c>
      <c r="BT349">
        <v>178</v>
      </c>
      <c r="BU349" s="23">
        <v>0.36242378048780488</v>
      </c>
    </row>
    <row r="350" spans="1:74">
      <c r="A350">
        <v>345</v>
      </c>
      <c r="B350" s="1">
        <v>5</v>
      </c>
      <c r="G350" t="s">
        <v>160</v>
      </c>
      <c r="H350" s="52" t="s">
        <v>864</v>
      </c>
      <c r="I350">
        <v>47.7</v>
      </c>
      <c r="J350">
        <v>68.3</v>
      </c>
      <c r="K350">
        <v>68.3</v>
      </c>
      <c r="L350">
        <v>3200</v>
      </c>
      <c r="M350">
        <v>1400</v>
      </c>
      <c r="N350">
        <v>0</v>
      </c>
      <c r="O350">
        <v>1202.08</v>
      </c>
      <c r="P350">
        <v>300</v>
      </c>
      <c r="Q350">
        <v>360</v>
      </c>
      <c r="R350" t="s">
        <v>39</v>
      </c>
      <c r="S350" s="30" t="s">
        <v>256</v>
      </c>
      <c r="T350">
        <v>15.9</v>
      </c>
      <c r="U350">
        <v>199</v>
      </c>
      <c r="V350" s="1">
        <v>542</v>
      </c>
      <c r="W350" s="1">
        <v>197</v>
      </c>
      <c r="X350" t="s">
        <v>40</v>
      </c>
      <c r="Y350">
        <v>75</v>
      </c>
      <c r="Z350">
        <v>4</v>
      </c>
      <c r="AA350">
        <v>6.35</v>
      </c>
      <c r="AB350">
        <v>31.7</v>
      </c>
      <c r="AC350">
        <v>695</v>
      </c>
      <c r="AD350">
        <v>178</v>
      </c>
      <c r="AE350">
        <v>6</v>
      </c>
      <c r="AF350">
        <v>54</v>
      </c>
      <c r="AG350">
        <v>3</v>
      </c>
      <c r="AH350">
        <v>50</v>
      </c>
      <c r="AI350">
        <v>6</v>
      </c>
      <c r="AJ350">
        <v>54</v>
      </c>
      <c r="AK350">
        <v>3</v>
      </c>
      <c r="AL350">
        <v>50</v>
      </c>
      <c r="AN350">
        <v>400</v>
      </c>
      <c r="AO350">
        <v>400</v>
      </c>
      <c r="AP350" t="s">
        <v>39</v>
      </c>
      <c r="AQ350" s="30" t="s">
        <v>256</v>
      </c>
      <c r="AR350">
        <v>15.9</v>
      </c>
      <c r="AS350">
        <v>199</v>
      </c>
      <c r="AT350">
        <v>542</v>
      </c>
      <c r="AU350">
        <v>197</v>
      </c>
      <c r="AV350" t="s">
        <v>40</v>
      </c>
      <c r="AW350">
        <v>50</v>
      </c>
      <c r="AX350">
        <v>4</v>
      </c>
      <c r="AY350">
        <v>6.35</v>
      </c>
      <c r="AZ350">
        <v>31.7</v>
      </c>
      <c r="BA350">
        <v>695</v>
      </c>
      <c r="BB350">
        <v>178</v>
      </c>
      <c r="BC350">
        <v>4</v>
      </c>
      <c r="BD350">
        <v>36</v>
      </c>
      <c r="BE350">
        <v>2</v>
      </c>
      <c r="BF350">
        <v>119</v>
      </c>
      <c r="BG350">
        <v>4</v>
      </c>
      <c r="BH350">
        <v>36</v>
      </c>
      <c r="BI350">
        <v>2</v>
      </c>
      <c r="BJ350">
        <v>119</v>
      </c>
      <c r="BM350" t="s">
        <v>166</v>
      </c>
      <c r="BN350" t="s">
        <v>40</v>
      </c>
      <c r="BP350" s="30">
        <v>31.7</v>
      </c>
      <c r="BQ350">
        <v>5</v>
      </c>
      <c r="BR350">
        <v>10</v>
      </c>
      <c r="BS350">
        <v>695</v>
      </c>
      <c r="BT350">
        <v>178</v>
      </c>
      <c r="BU350" s="23">
        <v>0.36242378048780488</v>
      </c>
    </row>
    <row r="351" spans="1:74">
      <c r="A351">
        <v>346</v>
      </c>
      <c r="B351" s="1">
        <v>1</v>
      </c>
      <c r="G351" t="s">
        <v>160</v>
      </c>
      <c r="H351" s="52" t="s">
        <v>865</v>
      </c>
      <c r="I351">
        <v>51.8</v>
      </c>
      <c r="J351">
        <v>74.5</v>
      </c>
      <c r="K351">
        <v>74.5</v>
      </c>
      <c r="L351">
        <v>3200</v>
      </c>
      <c r="M351">
        <v>1400</v>
      </c>
      <c r="N351">
        <v>0</v>
      </c>
      <c r="O351">
        <v>1192</v>
      </c>
      <c r="P351">
        <v>300</v>
      </c>
      <c r="Q351">
        <v>360</v>
      </c>
      <c r="R351" t="s">
        <v>39</v>
      </c>
      <c r="S351" s="30" t="s">
        <v>256</v>
      </c>
      <c r="T351">
        <v>15.9</v>
      </c>
      <c r="U351">
        <v>199</v>
      </c>
      <c r="V351" s="1">
        <v>542</v>
      </c>
      <c r="W351" s="1">
        <v>197</v>
      </c>
      <c r="X351" t="s">
        <v>40</v>
      </c>
      <c r="Y351">
        <v>75</v>
      </c>
      <c r="Z351">
        <v>4</v>
      </c>
      <c r="AA351">
        <v>6.35</v>
      </c>
      <c r="AB351">
        <v>31.7</v>
      </c>
      <c r="AC351">
        <v>695</v>
      </c>
      <c r="AD351">
        <v>178</v>
      </c>
      <c r="AE351">
        <v>6</v>
      </c>
      <c r="AF351">
        <v>54</v>
      </c>
      <c r="AG351">
        <v>3</v>
      </c>
      <c r="AH351">
        <v>50</v>
      </c>
      <c r="AI351">
        <v>6</v>
      </c>
      <c r="AJ351">
        <v>54</v>
      </c>
      <c r="AK351">
        <v>3</v>
      </c>
      <c r="AL351">
        <v>50</v>
      </c>
      <c r="AN351">
        <v>400</v>
      </c>
      <c r="AO351">
        <v>400</v>
      </c>
      <c r="AP351" t="s">
        <v>39</v>
      </c>
      <c r="AQ351" s="30" t="s">
        <v>256</v>
      </c>
      <c r="AR351">
        <v>15.9</v>
      </c>
      <c r="AS351">
        <v>199</v>
      </c>
      <c r="AT351">
        <v>542</v>
      </c>
      <c r="AU351">
        <v>197</v>
      </c>
      <c r="AV351" t="s">
        <v>40</v>
      </c>
      <c r="AW351">
        <v>50</v>
      </c>
      <c r="AX351">
        <v>4</v>
      </c>
      <c r="AY351">
        <v>6.35</v>
      </c>
      <c r="AZ351">
        <v>31.7</v>
      </c>
      <c r="BA351">
        <v>695</v>
      </c>
      <c r="BB351">
        <v>178</v>
      </c>
      <c r="BC351">
        <v>3</v>
      </c>
      <c r="BD351">
        <v>36</v>
      </c>
      <c r="BE351">
        <v>0</v>
      </c>
      <c r="BF351">
        <v>0</v>
      </c>
      <c r="BG351">
        <v>3</v>
      </c>
      <c r="BH351">
        <v>36</v>
      </c>
      <c r="BI351">
        <v>0</v>
      </c>
      <c r="BJ351">
        <v>0</v>
      </c>
      <c r="BM351" t="s">
        <v>166</v>
      </c>
      <c r="BN351" t="s">
        <v>40</v>
      </c>
      <c r="BP351" s="30">
        <v>31.7</v>
      </c>
      <c r="BQ351">
        <v>5</v>
      </c>
      <c r="BR351">
        <v>10</v>
      </c>
      <c r="BS351">
        <v>695</v>
      </c>
      <c r="BT351">
        <v>178</v>
      </c>
      <c r="BU351" s="23">
        <v>0.36242378048780488</v>
      </c>
    </row>
    <row r="352" spans="1:74">
      <c r="A352">
        <v>347</v>
      </c>
      <c r="B352" s="1">
        <v>1</v>
      </c>
      <c r="G352" t="s">
        <v>160</v>
      </c>
      <c r="H352" s="52" t="s">
        <v>866</v>
      </c>
      <c r="I352">
        <v>53.6</v>
      </c>
      <c r="J352">
        <v>76.900000000000006</v>
      </c>
      <c r="K352">
        <v>76.900000000000006</v>
      </c>
      <c r="L352">
        <v>3200</v>
      </c>
      <c r="M352">
        <v>1400</v>
      </c>
      <c r="N352">
        <v>0</v>
      </c>
      <c r="O352">
        <v>1230.4000000000001</v>
      </c>
      <c r="P352">
        <v>300</v>
      </c>
      <c r="Q352">
        <v>360</v>
      </c>
      <c r="R352" t="s">
        <v>39</v>
      </c>
      <c r="S352" s="30" t="s">
        <v>256</v>
      </c>
      <c r="T352">
        <v>15.9</v>
      </c>
      <c r="U352">
        <v>199</v>
      </c>
      <c r="V352" s="1">
        <v>542</v>
      </c>
      <c r="W352" s="1">
        <v>197</v>
      </c>
      <c r="X352" t="s">
        <v>40</v>
      </c>
      <c r="Y352">
        <v>75</v>
      </c>
      <c r="Z352">
        <v>4</v>
      </c>
      <c r="AA352">
        <v>6.35</v>
      </c>
      <c r="AB352">
        <v>31.7</v>
      </c>
      <c r="AC352">
        <v>695</v>
      </c>
      <c r="AD352">
        <v>178</v>
      </c>
      <c r="AE352">
        <v>4</v>
      </c>
      <c r="AF352">
        <v>63</v>
      </c>
      <c r="AG352">
        <v>2</v>
      </c>
      <c r="AH352">
        <v>50</v>
      </c>
      <c r="AI352">
        <v>4</v>
      </c>
      <c r="AJ352">
        <v>63</v>
      </c>
      <c r="AK352">
        <v>2</v>
      </c>
      <c r="AL352">
        <v>50</v>
      </c>
      <c r="AN352">
        <v>400</v>
      </c>
      <c r="AO352">
        <v>400</v>
      </c>
      <c r="AP352" t="s">
        <v>39</v>
      </c>
      <c r="AQ352" s="30" t="s">
        <v>256</v>
      </c>
      <c r="AR352">
        <v>15.9</v>
      </c>
      <c r="AS352">
        <v>199</v>
      </c>
      <c r="AT352">
        <v>542</v>
      </c>
      <c r="AU352">
        <v>197</v>
      </c>
      <c r="AV352" t="s">
        <v>40</v>
      </c>
      <c r="AW352">
        <v>50</v>
      </c>
      <c r="AX352">
        <v>4</v>
      </c>
      <c r="AY352">
        <v>6.35</v>
      </c>
      <c r="AZ352">
        <v>31.7</v>
      </c>
      <c r="BA352">
        <v>695</v>
      </c>
      <c r="BB352">
        <v>178</v>
      </c>
      <c r="BC352">
        <v>4</v>
      </c>
      <c r="BD352">
        <v>36</v>
      </c>
      <c r="BE352">
        <v>2</v>
      </c>
      <c r="BF352">
        <v>109</v>
      </c>
      <c r="BG352">
        <v>4</v>
      </c>
      <c r="BH352">
        <v>36</v>
      </c>
      <c r="BI352">
        <v>2</v>
      </c>
      <c r="BJ352">
        <v>109</v>
      </c>
      <c r="BM352" t="s">
        <v>166</v>
      </c>
      <c r="BN352" t="s">
        <v>40</v>
      </c>
      <c r="BP352" s="30">
        <v>31.7</v>
      </c>
      <c r="BQ352">
        <v>5</v>
      </c>
      <c r="BR352">
        <v>10</v>
      </c>
      <c r="BS352">
        <v>695</v>
      </c>
      <c r="BT352">
        <v>178</v>
      </c>
      <c r="BU352" s="23">
        <v>0.39493355481727571</v>
      </c>
    </row>
    <row r="353" spans="1:74">
      <c r="A353">
        <v>348</v>
      </c>
      <c r="B353" s="1">
        <v>1</v>
      </c>
      <c r="C353">
        <v>1186</v>
      </c>
      <c r="D353" t="s">
        <v>867</v>
      </c>
      <c r="E353">
        <v>2012</v>
      </c>
      <c r="F353" t="s">
        <v>868</v>
      </c>
      <c r="G353" t="s">
        <v>160</v>
      </c>
      <c r="H353" s="52" t="s">
        <v>869</v>
      </c>
      <c r="I353">
        <v>55.8</v>
      </c>
      <c r="J353">
        <v>72.400000000000006</v>
      </c>
      <c r="K353">
        <v>72.400000000000006</v>
      </c>
      <c r="L353">
        <v>2400</v>
      </c>
      <c r="M353">
        <v>2000</v>
      </c>
      <c r="N353">
        <v>0</v>
      </c>
      <c r="O353">
        <v>2100</v>
      </c>
      <c r="P353">
        <v>360</v>
      </c>
      <c r="Q353">
        <v>330</v>
      </c>
      <c r="R353" t="s">
        <v>57</v>
      </c>
      <c r="S353" s="30" t="s">
        <v>256</v>
      </c>
      <c r="T353">
        <v>19.100000000000001</v>
      </c>
      <c r="U353">
        <v>287</v>
      </c>
      <c r="V353" s="1">
        <v>540</v>
      </c>
      <c r="W353" s="1">
        <v>188</v>
      </c>
      <c r="X353" t="s">
        <v>40</v>
      </c>
      <c r="Y353">
        <v>65</v>
      </c>
      <c r="Z353">
        <v>3</v>
      </c>
      <c r="AA353">
        <v>6.35</v>
      </c>
      <c r="AB353">
        <v>31.7</v>
      </c>
      <c r="AC353">
        <v>947</v>
      </c>
      <c r="AD353">
        <v>174</v>
      </c>
      <c r="AE353">
        <v>5</v>
      </c>
      <c r="AF353">
        <v>36</v>
      </c>
      <c r="AG353">
        <v>2</v>
      </c>
      <c r="AH353">
        <v>48</v>
      </c>
      <c r="AI353">
        <v>5</v>
      </c>
      <c r="AJ353">
        <v>36</v>
      </c>
      <c r="AK353">
        <v>0</v>
      </c>
      <c r="AL353">
        <v>0</v>
      </c>
      <c r="AN353">
        <v>420</v>
      </c>
      <c r="AO353">
        <v>420</v>
      </c>
      <c r="AP353" t="s">
        <v>57</v>
      </c>
      <c r="AQ353" s="30" t="s">
        <v>256</v>
      </c>
      <c r="AR353">
        <v>19.100000000000001</v>
      </c>
      <c r="AS353">
        <v>287</v>
      </c>
      <c r="AT353">
        <v>540</v>
      </c>
      <c r="AU353">
        <v>188</v>
      </c>
      <c r="AV353" t="s">
        <v>40</v>
      </c>
      <c r="AW353">
        <v>50</v>
      </c>
      <c r="AX353">
        <v>3</v>
      </c>
      <c r="AY353">
        <v>6.35</v>
      </c>
      <c r="AZ353">
        <v>31.7</v>
      </c>
      <c r="BA353">
        <v>947</v>
      </c>
      <c r="BB353">
        <v>174</v>
      </c>
      <c r="BC353">
        <v>5</v>
      </c>
      <c r="BD353">
        <v>37</v>
      </c>
      <c r="BE353">
        <v>2</v>
      </c>
      <c r="BF353">
        <v>86</v>
      </c>
      <c r="BG353">
        <v>5</v>
      </c>
      <c r="BH353">
        <v>37</v>
      </c>
      <c r="BI353">
        <v>2</v>
      </c>
      <c r="BJ353">
        <v>86</v>
      </c>
      <c r="BL353" s="30">
        <v>2</v>
      </c>
      <c r="BM353" t="s">
        <v>166</v>
      </c>
      <c r="BN353" t="s">
        <v>153</v>
      </c>
      <c r="BO353" s="30">
        <v>9.5299999999999994</v>
      </c>
      <c r="BP353" s="30">
        <v>71.3</v>
      </c>
      <c r="BQ353">
        <v>4</v>
      </c>
      <c r="BR353">
        <v>8</v>
      </c>
      <c r="BS353">
        <v>420</v>
      </c>
      <c r="BT353">
        <v>182</v>
      </c>
      <c r="BU353" s="23">
        <v>0.55594541910331385</v>
      </c>
    </row>
    <row r="354" spans="1:74">
      <c r="A354">
        <v>349</v>
      </c>
      <c r="B354" s="1">
        <v>5</v>
      </c>
      <c r="G354" t="s">
        <v>160</v>
      </c>
      <c r="H354" s="52" t="s">
        <v>870</v>
      </c>
      <c r="I354">
        <v>55.8</v>
      </c>
      <c r="J354">
        <v>72.400000000000006</v>
      </c>
      <c r="K354">
        <v>72.400000000000006</v>
      </c>
      <c r="L354">
        <v>2400</v>
      </c>
      <c r="M354">
        <v>2000</v>
      </c>
      <c r="N354">
        <v>0</v>
      </c>
      <c r="O354">
        <v>2100</v>
      </c>
      <c r="P354">
        <v>360</v>
      </c>
      <c r="Q354">
        <v>330</v>
      </c>
      <c r="R354" t="s">
        <v>57</v>
      </c>
      <c r="S354" s="30" t="s">
        <v>256</v>
      </c>
      <c r="T354">
        <v>19.100000000000001</v>
      </c>
      <c r="U354">
        <v>287</v>
      </c>
      <c r="V354" s="1">
        <v>540</v>
      </c>
      <c r="W354" s="1">
        <v>188</v>
      </c>
      <c r="X354" t="s">
        <v>40</v>
      </c>
      <c r="Y354">
        <v>65</v>
      </c>
      <c r="Z354">
        <v>3</v>
      </c>
      <c r="AA354">
        <v>6.35</v>
      </c>
      <c r="AB354">
        <v>31.7</v>
      </c>
      <c r="AC354">
        <v>947</v>
      </c>
      <c r="AD354">
        <v>174</v>
      </c>
      <c r="AE354">
        <v>5</v>
      </c>
      <c r="AF354">
        <v>36</v>
      </c>
      <c r="AG354">
        <v>2</v>
      </c>
      <c r="AH354">
        <v>48</v>
      </c>
      <c r="AI354">
        <v>5</v>
      </c>
      <c r="AJ354">
        <v>36</v>
      </c>
      <c r="AK354">
        <v>0</v>
      </c>
      <c r="AL354">
        <v>0</v>
      </c>
      <c r="AN354">
        <v>420</v>
      </c>
      <c r="AO354">
        <v>420</v>
      </c>
      <c r="AP354" t="s">
        <v>57</v>
      </c>
      <c r="AQ354" s="30" t="s">
        <v>256</v>
      </c>
      <c r="AR354">
        <v>19.100000000000001</v>
      </c>
      <c r="AS354">
        <v>287</v>
      </c>
      <c r="AT354">
        <v>540</v>
      </c>
      <c r="AU354">
        <v>188</v>
      </c>
      <c r="AV354" t="s">
        <v>40</v>
      </c>
      <c r="AW354">
        <v>50</v>
      </c>
      <c r="AX354">
        <v>3</v>
      </c>
      <c r="AY354">
        <v>6.35</v>
      </c>
      <c r="AZ354">
        <v>31.7</v>
      </c>
      <c r="BA354">
        <v>947</v>
      </c>
      <c r="BB354">
        <v>174</v>
      </c>
      <c r="BC354">
        <v>5</v>
      </c>
      <c r="BD354">
        <v>37</v>
      </c>
      <c r="BE354">
        <v>2</v>
      </c>
      <c r="BF354">
        <v>86</v>
      </c>
      <c r="BG354">
        <v>5</v>
      </c>
      <c r="BH354">
        <v>37</v>
      </c>
      <c r="BI354">
        <v>2</v>
      </c>
      <c r="BJ354">
        <v>86</v>
      </c>
      <c r="BL354" s="30">
        <v>2</v>
      </c>
      <c r="BM354" t="s">
        <v>166</v>
      </c>
      <c r="BN354" t="s">
        <v>153</v>
      </c>
      <c r="BO354" s="30">
        <v>9.5299999999999994</v>
      </c>
      <c r="BP354" s="30">
        <v>71.3</v>
      </c>
      <c r="BQ354">
        <v>4</v>
      </c>
      <c r="BR354">
        <v>8</v>
      </c>
      <c r="BS354">
        <v>420</v>
      </c>
      <c r="BT354">
        <v>182</v>
      </c>
      <c r="BU354" s="23">
        <v>0.55594541910331385</v>
      </c>
    </row>
    <row r="355" spans="1:74">
      <c r="A355">
        <v>350</v>
      </c>
      <c r="B355" s="1">
        <v>1</v>
      </c>
      <c r="G355" t="s">
        <v>160</v>
      </c>
      <c r="H355" s="52" t="s">
        <v>871</v>
      </c>
      <c r="I355">
        <v>83.4</v>
      </c>
      <c r="J355">
        <v>83.4</v>
      </c>
      <c r="K355">
        <v>83.4</v>
      </c>
      <c r="L355">
        <v>3000</v>
      </c>
      <c r="M355">
        <v>2000</v>
      </c>
      <c r="N355">
        <v>0</v>
      </c>
      <c r="O355">
        <v>1920</v>
      </c>
      <c r="P355">
        <v>300</v>
      </c>
      <c r="Q355">
        <v>400</v>
      </c>
      <c r="R355" t="s">
        <v>57</v>
      </c>
      <c r="S355" s="30" t="s">
        <v>872</v>
      </c>
      <c r="T355">
        <v>19.100000000000001</v>
      </c>
      <c r="U355">
        <v>287</v>
      </c>
      <c r="V355" s="1">
        <v>617</v>
      </c>
      <c r="W355" s="1">
        <v>212</v>
      </c>
      <c r="X355" t="s">
        <v>181</v>
      </c>
      <c r="Y355">
        <v>50</v>
      </c>
      <c r="Z355">
        <v>2</v>
      </c>
      <c r="AA355">
        <v>6.4</v>
      </c>
      <c r="AB355">
        <v>30</v>
      </c>
      <c r="AC355">
        <v>1362</v>
      </c>
      <c r="AD355">
        <v>198</v>
      </c>
      <c r="AE355">
        <v>4</v>
      </c>
      <c r="AF355">
        <v>40</v>
      </c>
      <c r="AG355">
        <v>2</v>
      </c>
      <c r="AH355">
        <v>50</v>
      </c>
      <c r="AI355">
        <v>4</v>
      </c>
      <c r="AJ355">
        <v>40</v>
      </c>
      <c r="AK355">
        <v>2</v>
      </c>
      <c r="AL355">
        <v>50</v>
      </c>
      <c r="AN355">
        <v>400</v>
      </c>
      <c r="AO355">
        <v>400</v>
      </c>
      <c r="AP355" t="s">
        <v>57</v>
      </c>
      <c r="AQ355" s="30" t="s">
        <v>872</v>
      </c>
      <c r="AR355">
        <v>19.100000000000001</v>
      </c>
      <c r="AS355">
        <v>287</v>
      </c>
      <c r="AT355">
        <v>617</v>
      </c>
      <c r="AU355">
        <v>212</v>
      </c>
      <c r="AV355" t="s">
        <v>181</v>
      </c>
      <c r="AW355">
        <v>50</v>
      </c>
      <c r="AX355">
        <v>2</v>
      </c>
      <c r="AY355">
        <v>6.4</v>
      </c>
      <c r="AZ355">
        <v>30</v>
      </c>
      <c r="BA355">
        <v>1362</v>
      </c>
      <c r="BB355">
        <v>198</v>
      </c>
      <c r="BC355">
        <v>5</v>
      </c>
      <c r="BD355">
        <v>40</v>
      </c>
      <c r="BE355">
        <v>2</v>
      </c>
      <c r="BF355">
        <v>50</v>
      </c>
      <c r="BG355">
        <v>5</v>
      </c>
      <c r="BH355">
        <v>40</v>
      </c>
      <c r="BI355">
        <v>2</v>
      </c>
      <c r="BJ355">
        <v>50</v>
      </c>
      <c r="BL355" s="30">
        <v>2</v>
      </c>
      <c r="BM355" t="s">
        <v>166</v>
      </c>
      <c r="BN355" t="s">
        <v>181</v>
      </c>
      <c r="BP355" s="30">
        <v>30</v>
      </c>
      <c r="BQ355">
        <v>7</v>
      </c>
      <c r="BR355">
        <v>14</v>
      </c>
      <c r="BS355">
        <v>1362</v>
      </c>
      <c r="BT355">
        <v>198</v>
      </c>
      <c r="BU355" s="23">
        <v>0.3662790697674419</v>
      </c>
    </row>
    <row r="356" spans="1:74">
      <c r="A356">
        <v>351</v>
      </c>
      <c r="B356" s="1">
        <v>5</v>
      </c>
      <c r="G356" t="s">
        <v>160</v>
      </c>
      <c r="H356" s="52" t="s">
        <v>873</v>
      </c>
      <c r="I356">
        <v>72.400000000000006</v>
      </c>
      <c r="J356">
        <v>72.400000000000006</v>
      </c>
      <c r="K356">
        <v>72.400000000000006</v>
      </c>
      <c r="L356">
        <v>3000</v>
      </c>
      <c r="M356">
        <v>2000</v>
      </c>
      <c r="N356">
        <v>0</v>
      </c>
      <c r="O356">
        <v>1920</v>
      </c>
      <c r="P356">
        <v>300</v>
      </c>
      <c r="Q356">
        <v>400</v>
      </c>
      <c r="R356" t="s">
        <v>57</v>
      </c>
      <c r="S356" s="30" t="s">
        <v>256</v>
      </c>
      <c r="T356">
        <v>19.100000000000001</v>
      </c>
      <c r="U356">
        <v>287</v>
      </c>
      <c r="V356" s="1">
        <v>540</v>
      </c>
      <c r="W356" s="1">
        <v>188</v>
      </c>
      <c r="X356" t="s">
        <v>181</v>
      </c>
      <c r="Y356">
        <v>50</v>
      </c>
      <c r="Z356">
        <v>2</v>
      </c>
      <c r="AA356">
        <v>6.4</v>
      </c>
      <c r="AB356">
        <v>30</v>
      </c>
      <c r="AC356">
        <v>1362</v>
      </c>
      <c r="AD356">
        <v>198</v>
      </c>
      <c r="AE356">
        <v>4</v>
      </c>
      <c r="AF356">
        <v>40</v>
      </c>
      <c r="AG356">
        <v>2</v>
      </c>
      <c r="AH356">
        <v>50</v>
      </c>
      <c r="AI356">
        <v>4</v>
      </c>
      <c r="AJ356">
        <v>40</v>
      </c>
      <c r="AK356">
        <v>2</v>
      </c>
      <c r="AL356">
        <v>50</v>
      </c>
      <c r="AN356">
        <v>400</v>
      </c>
      <c r="AO356">
        <v>400</v>
      </c>
      <c r="AP356" t="s">
        <v>57</v>
      </c>
      <c r="AQ356" s="30" t="s">
        <v>256</v>
      </c>
      <c r="AR356">
        <v>19.100000000000001</v>
      </c>
      <c r="AS356">
        <v>287</v>
      </c>
      <c r="AT356">
        <v>540</v>
      </c>
      <c r="AU356">
        <v>188</v>
      </c>
      <c r="AV356" t="s">
        <v>181</v>
      </c>
      <c r="AW356">
        <v>50</v>
      </c>
      <c r="AX356">
        <v>2</v>
      </c>
      <c r="AY356">
        <v>6.4</v>
      </c>
      <c r="AZ356">
        <v>30</v>
      </c>
      <c r="BA356">
        <v>1362</v>
      </c>
      <c r="BB356">
        <v>198</v>
      </c>
      <c r="BC356">
        <v>5</v>
      </c>
      <c r="BD356">
        <v>40</v>
      </c>
      <c r="BE356">
        <v>2</v>
      </c>
      <c r="BF356">
        <v>50</v>
      </c>
      <c r="BG356">
        <v>5</v>
      </c>
      <c r="BH356">
        <v>40</v>
      </c>
      <c r="BI356">
        <v>2</v>
      </c>
      <c r="BJ356">
        <v>50</v>
      </c>
      <c r="BL356" s="30">
        <v>2</v>
      </c>
      <c r="BM356" t="s">
        <v>166</v>
      </c>
      <c r="BN356" t="s">
        <v>181</v>
      </c>
      <c r="BP356" s="30">
        <v>30</v>
      </c>
      <c r="BQ356">
        <v>7</v>
      </c>
      <c r="BR356">
        <v>14</v>
      </c>
      <c r="BS356">
        <v>1362</v>
      </c>
      <c r="BT356">
        <v>198</v>
      </c>
      <c r="BU356" s="23">
        <v>0.3662790697674419</v>
      </c>
    </row>
    <row r="357" spans="1:74">
      <c r="A357">
        <v>352</v>
      </c>
      <c r="B357" s="1">
        <v>1</v>
      </c>
      <c r="C357">
        <v>1189</v>
      </c>
      <c r="D357" t="s">
        <v>874</v>
      </c>
      <c r="E357">
        <v>2012</v>
      </c>
      <c r="F357" t="s">
        <v>875</v>
      </c>
      <c r="G357" t="s">
        <v>160</v>
      </c>
      <c r="H357" s="52" t="s">
        <v>876</v>
      </c>
      <c r="I357">
        <v>13.8</v>
      </c>
      <c r="J357">
        <v>13.8</v>
      </c>
      <c r="K357">
        <v>13.8</v>
      </c>
      <c r="L357">
        <v>3100</v>
      </c>
      <c r="M357">
        <v>1650</v>
      </c>
      <c r="N357">
        <v>0</v>
      </c>
      <c r="O357">
        <v>151</v>
      </c>
      <c r="P357">
        <v>180</v>
      </c>
      <c r="Q357">
        <v>350</v>
      </c>
      <c r="R357" t="s">
        <v>62</v>
      </c>
      <c r="S357" s="30" t="s">
        <v>845</v>
      </c>
      <c r="T357">
        <v>12.7</v>
      </c>
      <c r="U357">
        <v>127</v>
      </c>
      <c r="V357" s="1">
        <v>357</v>
      </c>
      <c r="W357" s="1">
        <v>183</v>
      </c>
      <c r="X357" t="s">
        <v>40</v>
      </c>
      <c r="Y357">
        <v>75</v>
      </c>
      <c r="Z357">
        <v>2</v>
      </c>
      <c r="AA357">
        <v>6.35</v>
      </c>
      <c r="AB357">
        <v>31.7</v>
      </c>
      <c r="AC357">
        <v>417</v>
      </c>
      <c r="AD357">
        <v>178</v>
      </c>
      <c r="AE357">
        <v>4</v>
      </c>
      <c r="AF357">
        <v>35</v>
      </c>
      <c r="AG357">
        <v>2</v>
      </c>
      <c r="AH357">
        <v>32</v>
      </c>
      <c r="AI357">
        <v>4</v>
      </c>
      <c r="AJ357">
        <v>35</v>
      </c>
      <c r="AK357">
        <v>2</v>
      </c>
      <c r="AL357">
        <v>32</v>
      </c>
      <c r="AN357">
        <v>280</v>
      </c>
      <c r="AO357">
        <v>400</v>
      </c>
      <c r="AP357" t="s">
        <v>62</v>
      </c>
      <c r="AQ357" s="30" t="s">
        <v>845</v>
      </c>
      <c r="AR357">
        <v>12.7</v>
      </c>
      <c r="AS357">
        <v>127</v>
      </c>
      <c r="AT357">
        <v>357</v>
      </c>
      <c r="AU357">
        <v>183</v>
      </c>
      <c r="AV357" t="s">
        <v>40</v>
      </c>
      <c r="AW357">
        <v>100</v>
      </c>
      <c r="AX357">
        <v>2</v>
      </c>
      <c r="AY357">
        <v>6.35</v>
      </c>
      <c r="AZ357">
        <v>31.7</v>
      </c>
      <c r="BA357">
        <v>417</v>
      </c>
      <c r="BB357">
        <v>178</v>
      </c>
      <c r="BC357">
        <v>3</v>
      </c>
      <c r="BD357">
        <v>36</v>
      </c>
      <c r="BE357">
        <v>2</v>
      </c>
      <c r="BF357">
        <v>110</v>
      </c>
      <c r="BG357">
        <v>3</v>
      </c>
      <c r="BH357">
        <v>36</v>
      </c>
      <c r="BI357">
        <v>2</v>
      </c>
      <c r="BJ357">
        <v>110</v>
      </c>
      <c r="BM357" t="s">
        <v>166</v>
      </c>
      <c r="BN357" t="s">
        <v>40</v>
      </c>
      <c r="BP357" s="30">
        <v>31.7</v>
      </c>
      <c r="BQ357">
        <v>2</v>
      </c>
      <c r="BR357">
        <v>4</v>
      </c>
      <c r="BS357">
        <v>417</v>
      </c>
      <c r="BT357">
        <v>178</v>
      </c>
      <c r="BU357" s="23">
        <v>0.1750736377025037</v>
      </c>
      <c r="BV357" t="s">
        <v>877</v>
      </c>
    </row>
    <row r="358" spans="1:74">
      <c r="A358">
        <v>353</v>
      </c>
      <c r="B358" s="1">
        <v>1</v>
      </c>
      <c r="C358">
        <v>1190</v>
      </c>
      <c r="D358" t="s">
        <v>878</v>
      </c>
      <c r="E358">
        <v>2012</v>
      </c>
      <c r="F358" t="s">
        <v>841</v>
      </c>
      <c r="G358" t="s">
        <v>158</v>
      </c>
      <c r="H358" s="52" t="s">
        <v>879</v>
      </c>
      <c r="I358">
        <v>35.6</v>
      </c>
      <c r="J358">
        <v>35.6</v>
      </c>
      <c r="K358">
        <v>35.6</v>
      </c>
      <c r="L358">
        <v>3300</v>
      </c>
      <c r="M358">
        <v>2700</v>
      </c>
      <c r="N358">
        <v>0</v>
      </c>
      <c r="O358">
        <v>614.4</v>
      </c>
      <c r="P358">
        <v>200</v>
      </c>
      <c r="Q358">
        <v>300</v>
      </c>
      <c r="R358" t="s">
        <v>62</v>
      </c>
      <c r="S358" s="30" t="s">
        <v>76</v>
      </c>
      <c r="T358">
        <v>12.7</v>
      </c>
      <c r="U358">
        <v>127</v>
      </c>
      <c r="V358" s="1">
        <v>365</v>
      </c>
      <c r="W358" s="1">
        <v>189</v>
      </c>
      <c r="X358" t="s">
        <v>40</v>
      </c>
      <c r="Y358">
        <v>100</v>
      </c>
      <c r="Z358">
        <v>2</v>
      </c>
      <c r="AA358">
        <v>6.35</v>
      </c>
      <c r="AB358">
        <v>31.7</v>
      </c>
      <c r="AC358">
        <v>359</v>
      </c>
      <c r="AD358">
        <v>191</v>
      </c>
      <c r="AE358">
        <v>3</v>
      </c>
      <c r="AF358">
        <v>30</v>
      </c>
      <c r="AG358">
        <v>0</v>
      </c>
      <c r="AH358">
        <v>0</v>
      </c>
      <c r="AI358">
        <v>3</v>
      </c>
      <c r="AJ358">
        <v>30</v>
      </c>
      <c r="AK358">
        <v>0</v>
      </c>
      <c r="AL358">
        <v>0</v>
      </c>
      <c r="AN358">
        <v>320</v>
      </c>
      <c r="AO358">
        <v>320</v>
      </c>
      <c r="AP358" t="s">
        <v>62</v>
      </c>
      <c r="AQ358" s="30" t="s">
        <v>76</v>
      </c>
      <c r="AR358">
        <v>12.7</v>
      </c>
      <c r="AS358">
        <v>127</v>
      </c>
      <c r="AT358">
        <v>365</v>
      </c>
      <c r="AU358">
        <v>189</v>
      </c>
      <c r="AV358" t="s">
        <v>153</v>
      </c>
      <c r="AW358">
        <v>50</v>
      </c>
      <c r="AX358">
        <v>2</v>
      </c>
      <c r="AY358">
        <v>9.5299999999999994</v>
      </c>
      <c r="AZ358">
        <v>71.3</v>
      </c>
      <c r="BA358">
        <v>374</v>
      </c>
      <c r="BB358">
        <v>192</v>
      </c>
      <c r="BC358">
        <v>4</v>
      </c>
      <c r="BD358">
        <v>40</v>
      </c>
      <c r="BE358">
        <v>2</v>
      </c>
      <c r="BF358">
        <v>80</v>
      </c>
      <c r="BG358">
        <v>4</v>
      </c>
      <c r="BH358">
        <v>40</v>
      </c>
      <c r="BI358">
        <v>2</v>
      </c>
      <c r="BJ358">
        <v>80</v>
      </c>
      <c r="BM358" t="s">
        <v>166</v>
      </c>
      <c r="BN358" t="s">
        <v>153</v>
      </c>
      <c r="BP358" s="30">
        <v>71.3</v>
      </c>
      <c r="BQ358">
        <v>4</v>
      </c>
      <c r="BR358">
        <v>8</v>
      </c>
      <c r="BS358">
        <v>374</v>
      </c>
      <c r="BT358">
        <v>192</v>
      </c>
      <c r="BU358" s="23">
        <v>0.7427083333333333</v>
      </c>
    </row>
    <row r="359" spans="1:74">
      <c r="A359">
        <v>354</v>
      </c>
      <c r="B359" s="1">
        <v>1</v>
      </c>
      <c r="C359">
        <v>1191</v>
      </c>
      <c r="D359" t="s">
        <v>856</v>
      </c>
      <c r="E359">
        <v>2012</v>
      </c>
      <c r="F359" t="s">
        <v>841</v>
      </c>
      <c r="G359" t="s">
        <v>158</v>
      </c>
      <c r="H359" s="52" t="s">
        <v>880</v>
      </c>
      <c r="I359">
        <v>40.1</v>
      </c>
      <c r="J359">
        <v>40.1</v>
      </c>
      <c r="K359">
        <v>40.1</v>
      </c>
      <c r="L359">
        <v>1400</v>
      </c>
      <c r="M359">
        <v>1400</v>
      </c>
      <c r="N359">
        <v>0</v>
      </c>
      <c r="O359">
        <v>166</v>
      </c>
      <c r="P359">
        <v>240</v>
      </c>
      <c r="Q359">
        <v>240</v>
      </c>
      <c r="R359" t="s">
        <v>153</v>
      </c>
      <c r="S359" s="30" t="s">
        <v>76</v>
      </c>
      <c r="T359">
        <v>9.5299999999999994</v>
      </c>
      <c r="U359">
        <v>71.3</v>
      </c>
      <c r="V359" s="1">
        <v>389</v>
      </c>
      <c r="W359" s="1">
        <v>205</v>
      </c>
      <c r="X359" t="s">
        <v>40</v>
      </c>
      <c r="Y359">
        <v>50</v>
      </c>
      <c r="Z359">
        <v>2</v>
      </c>
      <c r="AA359">
        <v>6.35</v>
      </c>
      <c r="AB359">
        <v>31.7</v>
      </c>
      <c r="AC359">
        <v>334</v>
      </c>
      <c r="AD359">
        <v>205</v>
      </c>
      <c r="AE359">
        <v>7</v>
      </c>
      <c r="AF359">
        <v>24</v>
      </c>
      <c r="AG359">
        <v>0</v>
      </c>
      <c r="AH359">
        <v>0</v>
      </c>
      <c r="AI359">
        <v>7</v>
      </c>
      <c r="AJ359">
        <v>24</v>
      </c>
      <c r="AK359">
        <v>0</v>
      </c>
      <c r="AL359">
        <v>0</v>
      </c>
      <c r="AN359">
        <v>240</v>
      </c>
      <c r="AO359">
        <v>240</v>
      </c>
      <c r="AP359" t="s">
        <v>153</v>
      </c>
      <c r="AQ359" s="30" t="s">
        <v>76</v>
      </c>
      <c r="AR359" s="103">
        <v>9.5299999999999994</v>
      </c>
      <c r="AS359" s="103">
        <v>71.3</v>
      </c>
      <c r="AT359">
        <v>389</v>
      </c>
      <c r="AU359">
        <v>205</v>
      </c>
      <c r="AV359" t="s">
        <v>40</v>
      </c>
      <c r="AW359">
        <v>50</v>
      </c>
      <c r="AX359">
        <v>2</v>
      </c>
      <c r="AY359">
        <v>6.35</v>
      </c>
      <c r="AZ359">
        <v>31.7</v>
      </c>
      <c r="BA359">
        <v>334</v>
      </c>
      <c r="BB359">
        <v>205</v>
      </c>
      <c r="BC359">
        <v>8</v>
      </c>
      <c r="BD359">
        <v>24</v>
      </c>
      <c r="BE359">
        <v>2</v>
      </c>
      <c r="BF359">
        <v>32</v>
      </c>
      <c r="BG359">
        <v>8</v>
      </c>
      <c r="BH359">
        <v>24</v>
      </c>
      <c r="BI359">
        <v>2</v>
      </c>
      <c r="BJ359">
        <v>32</v>
      </c>
      <c r="BL359" s="30">
        <v>6</v>
      </c>
      <c r="BM359" t="s">
        <v>444</v>
      </c>
      <c r="BN359" t="s">
        <v>40</v>
      </c>
      <c r="BP359" s="30">
        <v>31.7</v>
      </c>
      <c r="BQ359">
        <v>4</v>
      </c>
      <c r="BR359">
        <v>16</v>
      </c>
      <c r="BS359">
        <v>334</v>
      </c>
      <c r="BT359">
        <v>205</v>
      </c>
      <c r="BU359" s="23">
        <v>1.1006944444444444</v>
      </c>
    </row>
    <row r="360" spans="1:74">
      <c r="A360">
        <v>355</v>
      </c>
      <c r="B360" s="1">
        <v>1</v>
      </c>
      <c r="G360" t="s">
        <v>158</v>
      </c>
      <c r="H360" s="52" t="s">
        <v>881</v>
      </c>
      <c r="I360">
        <v>40.1</v>
      </c>
      <c r="J360">
        <v>40.1</v>
      </c>
      <c r="K360">
        <v>40.1</v>
      </c>
      <c r="L360">
        <v>1400</v>
      </c>
      <c r="M360">
        <v>1400</v>
      </c>
      <c r="N360">
        <v>0</v>
      </c>
      <c r="O360">
        <v>166</v>
      </c>
      <c r="P360">
        <v>240</v>
      </c>
      <c r="Q360">
        <v>240</v>
      </c>
      <c r="R360" t="s">
        <v>153</v>
      </c>
      <c r="S360" s="30" t="s">
        <v>76</v>
      </c>
      <c r="T360">
        <v>9.5299999999999994</v>
      </c>
      <c r="U360">
        <v>71.3</v>
      </c>
      <c r="V360" s="1">
        <v>389</v>
      </c>
      <c r="W360" s="1">
        <v>205</v>
      </c>
      <c r="X360" t="s">
        <v>40</v>
      </c>
      <c r="Y360">
        <v>50</v>
      </c>
      <c r="Z360">
        <v>2</v>
      </c>
      <c r="AA360">
        <v>6.35</v>
      </c>
      <c r="AB360">
        <v>31.7</v>
      </c>
      <c r="AC360">
        <v>334</v>
      </c>
      <c r="AD360">
        <v>205</v>
      </c>
      <c r="AE360">
        <v>7</v>
      </c>
      <c r="AF360">
        <v>24</v>
      </c>
      <c r="AG360">
        <v>0</v>
      </c>
      <c r="AH360">
        <v>0</v>
      </c>
      <c r="AI360">
        <v>7</v>
      </c>
      <c r="AJ360">
        <v>24</v>
      </c>
      <c r="AK360">
        <v>0</v>
      </c>
      <c r="AL360">
        <v>0</v>
      </c>
      <c r="AN360">
        <v>240</v>
      </c>
      <c r="AO360">
        <v>240</v>
      </c>
      <c r="AP360" t="s">
        <v>153</v>
      </c>
      <c r="AQ360" s="30" t="s">
        <v>76</v>
      </c>
      <c r="AR360" s="103">
        <v>9.5299999999999994</v>
      </c>
      <c r="AS360" s="103">
        <v>71.3</v>
      </c>
      <c r="AT360">
        <v>389</v>
      </c>
      <c r="AU360">
        <v>205</v>
      </c>
      <c r="AV360" t="s">
        <v>40</v>
      </c>
      <c r="AW360">
        <v>50</v>
      </c>
      <c r="AX360">
        <v>2</v>
      </c>
      <c r="AY360">
        <v>6.35</v>
      </c>
      <c r="AZ360">
        <v>31.7</v>
      </c>
      <c r="BA360">
        <v>334</v>
      </c>
      <c r="BB360">
        <v>205</v>
      </c>
      <c r="BC360">
        <v>8</v>
      </c>
      <c r="BD360">
        <v>24</v>
      </c>
      <c r="BE360">
        <v>0</v>
      </c>
      <c r="BF360">
        <v>0</v>
      </c>
      <c r="BG360">
        <v>8</v>
      </c>
      <c r="BH360">
        <v>24</v>
      </c>
      <c r="BI360">
        <v>0</v>
      </c>
      <c r="BJ360">
        <v>0</v>
      </c>
      <c r="BM360" t="s">
        <v>444</v>
      </c>
      <c r="BN360" t="s">
        <v>882</v>
      </c>
      <c r="BP360" s="30">
        <v>51.5</v>
      </c>
      <c r="BQ360">
        <v>4</v>
      </c>
      <c r="BR360">
        <v>16</v>
      </c>
      <c r="BS360">
        <v>738.26407766990292</v>
      </c>
      <c r="BT360">
        <v>205</v>
      </c>
      <c r="BU360" s="23">
        <v>1.1006944444444444</v>
      </c>
      <c r="BV360" t="s">
        <v>883</v>
      </c>
    </row>
    <row r="361" spans="1:74">
      <c r="A361">
        <v>356</v>
      </c>
      <c r="B361" s="1">
        <v>1</v>
      </c>
      <c r="C361">
        <v>1195</v>
      </c>
      <c r="D361" t="s">
        <v>884</v>
      </c>
      <c r="E361">
        <v>2012</v>
      </c>
      <c r="F361" t="s">
        <v>841</v>
      </c>
      <c r="G361" t="s">
        <v>160</v>
      </c>
      <c r="H361" s="52" t="s">
        <v>350</v>
      </c>
      <c r="I361">
        <v>34.9</v>
      </c>
      <c r="J361">
        <v>34.9</v>
      </c>
      <c r="K361">
        <v>34.9</v>
      </c>
      <c r="L361">
        <v>2500</v>
      </c>
      <c r="M361">
        <v>3000</v>
      </c>
      <c r="N361">
        <v>0</v>
      </c>
      <c r="O361">
        <v>0</v>
      </c>
      <c r="P361">
        <v>250</v>
      </c>
      <c r="Q361">
        <v>400</v>
      </c>
      <c r="R361" t="s">
        <v>39</v>
      </c>
      <c r="S361" s="30" t="s">
        <v>76</v>
      </c>
      <c r="T361">
        <v>15.9</v>
      </c>
      <c r="U361">
        <v>199</v>
      </c>
      <c r="V361" s="1">
        <v>447.9</v>
      </c>
      <c r="W361" s="1">
        <v>182</v>
      </c>
      <c r="X361" t="s">
        <v>311</v>
      </c>
      <c r="Y361">
        <v>150</v>
      </c>
      <c r="Z361">
        <v>2</v>
      </c>
      <c r="AA361">
        <v>4.0999999999999996</v>
      </c>
      <c r="AB361">
        <v>40</v>
      </c>
      <c r="AC361">
        <v>1339.5</v>
      </c>
      <c r="AD361">
        <v>185</v>
      </c>
      <c r="AE361">
        <v>4</v>
      </c>
      <c r="AF361">
        <v>40</v>
      </c>
      <c r="AG361">
        <v>0</v>
      </c>
      <c r="AH361">
        <v>0</v>
      </c>
      <c r="AI361">
        <v>4</v>
      </c>
      <c r="AJ361">
        <v>40</v>
      </c>
      <c r="AK361">
        <v>0</v>
      </c>
      <c r="AL361">
        <v>0</v>
      </c>
      <c r="AN361">
        <v>350</v>
      </c>
      <c r="AO361">
        <v>350</v>
      </c>
      <c r="AP361" t="s">
        <v>57</v>
      </c>
      <c r="AQ361" s="30" t="s">
        <v>243</v>
      </c>
      <c r="AR361">
        <v>19.100000000000001</v>
      </c>
      <c r="AS361">
        <v>287</v>
      </c>
      <c r="AT361">
        <v>479.3</v>
      </c>
      <c r="AU361">
        <v>183</v>
      </c>
      <c r="AV361" t="s">
        <v>311</v>
      </c>
      <c r="AW361">
        <v>100</v>
      </c>
      <c r="AX361">
        <v>2</v>
      </c>
      <c r="AY361">
        <v>4.0999999999999996</v>
      </c>
      <c r="AZ361">
        <v>40</v>
      </c>
      <c r="BA361">
        <v>1339.5</v>
      </c>
      <c r="BB361">
        <v>185</v>
      </c>
      <c r="BC361">
        <v>3</v>
      </c>
      <c r="BD361">
        <v>40</v>
      </c>
      <c r="BE361">
        <v>0</v>
      </c>
      <c r="BF361">
        <v>0</v>
      </c>
      <c r="BG361">
        <v>3</v>
      </c>
      <c r="BH361">
        <v>40</v>
      </c>
      <c r="BI361">
        <v>0</v>
      </c>
      <c r="BJ361">
        <v>0</v>
      </c>
      <c r="BK361" s="30">
        <v>0</v>
      </c>
      <c r="BL361" s="30">
        <v>2</v>
      </c>
      <c r="BM361" t="s">
        <v>166</v>
      </c>
      <c r="BN361" t="s">
        <v>311</v>
      </c>
      <c r="BP361" s="30">
        <v>39.591921416865368</v>
      </c>
      <c r="BQ361">
        <v>4</v>
      </c>
      <c r="BR361">
        <v>8</v>
      </c>
      <c r="BS361">
        <v>1339.5</v>
      </c>
      <c r="BT361">
        <v>185</v>
      </c>
      <c r="BU361" s="23">
        <v>0.2857142857142857</v>
      </c>
    </row>
    <row r="362" spans="1:74">
      <c r="A362">
        <v>357</v>
      </c>
      <c r="B362" s="1">
        <v>1</v>
      </c>
      <c r="G362" t="s">
        <v>158</v>
      </c>
      <c r="H362" s="52" t="s">
        <v>885</v>
      </c>
      <c r="I362">
        <v>34.9</v>
      </c>
      <c r="J362">
        <v>34.9</v>
      </c>
      <c r="K362">
        <v>34.9</v>
      </c>
      <c r="L362">
        <v>2500</v>
      </c>
      <c r="M362">
        <v>3000</v>
      </c>
      <c r="N362">
        <v>0</v>
      </c>
      <c r="O362">
        <v>0</v>
      </c>
      <c r="P362">
        <v>250</v>
      </c>
      <c r="Q362">
        <v>400</v>
      </c>
      <c r="R362" t="s">
        <v>39</v>
      </c>
      <c r="S362" s="30" t="s">
        <v>76</v>
      </c>
      <c r="T362">
        <v>15.9</v>
      </c>
      <c r="U362">
        <v>199</v>
      </c>
      <c r="V362" s="1">
        <v>447.9</v>
      </c>
      <c r="W362" s="1">
        <v>182</v>
      </c>
      <c r="X362" t="s">
        <v>311</v>
      </c>
      <c r="Y362">
        <v>150</v>
      </c>
      <c r="Z362">
        <v>2</v>
      </c>
      <c r="AA362">
        <v>4.0999999999999996</v>
      </c>
      <c r="AB362">
        <v>40</v>
      </c>
      <c r="AC362">
        <v>1339.5</v>
      </c>
      <c r="AD362">
        <v>185</v>
      </c>
      <c r="AE362">
        <v>4</v>
      </c>
      <c r="AF362">
        <v>40</v>
      </c>
      <c r="AG362">
        <v>0</v>
      </c>
      <c r="AH362">
        <v>0</v>
      </c>
      <c r="AI362">
        <v>4</v>
      </c>
      <c r="AJ362">
        <v>40</v>
      </c>
      <c r="AK362">
        <v>0</v>
      </c>
      <c r="AL362">
        <v>0</v>
      </c>
      <c r="AN362">
        <v>350</v>
      </c>
      <c r="AO362">
        <v>350</v>
      </c>
      <c r="AP362" t="s">
        <v>57</v>
      </c>
      <c r="AQ362" s="30" t="s">
        <v>886</v>
      </c>
      <c r="AR362">
        <v>19.100000000000001</v>
      </c>
      <c r="AS362">
        <v>287</v>
      </c>
      <c r="AT362">
        <v>938.8</v>
      </c>
      <c r="AU362">
        <v>177</v>
      </c>
      <c r="AV362" t="s">
        <v>311</v>
      </c>
      <c r="AW362">
        <v>100</v>
      </c>
      <c r="AX362">
        <v>2</v>
      </c>
      <c r="AY362">
        <v>4.0999999999999996</v>
      </c>
      <c r="AZ362">
        <v>40</v>
      </c>
      <c r="BA362">
        <v>1339.5</v>
      </c>
      <c r="BB362">
        <v>185</v>
      </c>
      <c r="BC362">
        <v>3</v>
      </c>
      <c r="BD362">
        <v>40</v>
      </c>
      <c r="BE362">
        <v>0</v>
      </c>
      <c r="BF362">
        <v>0</v>
      </c>
      <c r="BG362">
        <v>3</v>
      </c>
      <c r="BH362">
        <v>40</v>
      </c>
      <c r="BI362">
        <v>0</v>
      </c>
      <c r="BJ362">
        <v>0</v>
      </c>
      <c r="BK362" s="30">
        <v>0</v>
      </c>
      <c r="BL362" s="30">
        <v>2</v>
      </c>
      <c r="BM362" t="s">
        <v>166</v>
      </c>
      <c r="BN362" t="s">
        <v>311</v>
      </c>
      <c r="BP362" s="30">
        <v>39.591921416865368</v>
      </c>
      <c r="BQ362">
        <v>4</v>
      </c>
      <c r="BR362">
        <v>8</v>
      </c>
      <c r="BS362">
        <v>1339.5</v>
      </c>
      <c r="BT362">
        <v>185</v>
      </c>
      <c r="BU362" s="23">
        <v>0.2857142857142857</v>
      </c>
    </row>
    <row r="363" spans="1:74">
      <c r="A363">
        <v>358</v>
      </c>
      <c r="B363" s="1">
        <v>1</v>
      </c>
      <c r="C363">
        <v>1196</v>
      </c>
      <c r="D363" t="s">
        <v>887</v>
      </c>
      <c r="E363">
        <v>2012</v>
      </c>
      <c r="F363" t="s">
        <v>841</v>
      </c>
      <c r="G363" t="s">
        <v>84</v>
      </c>
      <c r="H363" s="52" t="s">
        <v>270</v>
      </c>
      <c r="I363">
        <v>27.7</v>
      </c>
      <c r="J363">
        <v>27.7</v>
      </c>
      <c r="K363">
        <v>27.7</v>
      </c>
      <c r="L363">
        <v>2140</v>
      </c>
      <c r="M363">
        <v>1020</v>
      </c>
      <c r="N363">
        <v>0</v>
      </c>
      <c r="O363">
        <v>0</v>
      </c>
      <c r="P363">
        <v>160</v>
      </c>
      <c r="Q363">
        <v>250</v>
      </c>
      <c r="R363" t="s">
        <v>62</v>
      </c>
      <c r="T363">
        <v>12.7</v>
      </c>
      <c r="U363">
        <v>127</v>
      </c>
      <c r="V363" s="1">
        <v>357</v>
      </c>
      <c r="W363" s="1">
        <v>183</v>
      </c>
      <c r="X363" t="s">
        <v>305</v>
      </c>
      <c r="Y363">
        <v>30</v>
      </c>
      <c r="Z363">
        <v>4</v>
      </c>
      <c r="AA363">
        <v>3.2</v>
      </c>
      <c r="AB363">
        <v>8.0424771931898711</v>
      </c>
      <c r="AC363">
        <v>226</v>
      </c>
      <c r="AD363">
        <v>206</v>
      </c>
      <c r="AE363">
        <v>4</v>
      </c>
      <c r="AF363">
        <v>25</v>
      </c>
      <c r="AG363">
        <v>4</v>
      </c>
      <c r="AH363">
        <v>25</v>
      </c>
      <c r="AI363">
        <v>4</v>
      </c>
      <c r="AJ363">
        <v>25</v>
      </c>
      <c r="AK363">
        <v>4</v>
      </c>
      <c r="AL363">
        <v>25</v>
      </c>
      <c r="AN363">
        <v>250</v>
      </c>
      <c r="AO363">
        <v>250</v>
      </c>
      <c r="AP363" t="s">
        <v>62</v>
      </c>
      <c r="AR363">
        <v>12.7</v>
      </c>
      <c r="AS363">
        <v>127</v>
      </c>
      <c r="AT363">
        <v>357</v>
      </c>
      <c r="AU363">
        <v>183</v>
      </c>
      <c r="AV363" t="s">
        <v>305</v>
      </c>
      <c r="AW363">
        <v>30</v>
      </c>
      <c r="AX363">
        <v>4</v>
      </c>
      <c r="AY363">
        <v>3.2</v>
      </c>
      <c r="AZ363">
        <v>8.0424771931898711</v>
      </c>
      <c r="BA363">
        <v>226</v>
      </c>
      <c r="BB363">
        <v>206</v>
      </c>
      <c r="BC363">
        <v>7</v>
      </c>
      <c r="BD363">
        <v>25</v>
      </c>
      <c r="BE363">
        <v>2</v>
      </c>
      <c r="BF363">
        <v>36</v>
      </c>
      <c r="BG363">
        <v>7</v>
      </c>
      <c r="BH363">
        <v>25</v>
      </c>
      <c r="BI363">
        <v>2</v>
      </c>
      <c r="BJ363">
        <v>36</v>
      </c>
      <c r="BL363" s="30">
        <v>4</v>
      </c>
      <c r="BM363" t="s">
        <v>444</v>
      </c>
      <c r="BN363" t="s">
        <v>305</v>
      </c>
      <c r="BP363" s="30">
        <v>8.0424771931898711</v>
      </c>
      <c r="BQ363">
        <v>7</v>
      </c>
      <c r="BR363">
        <v>14</v>
      </c>
      <c r="BS363">
        <v>226</v>
      </c>
      <c r="BT363">
        <v>206</v>
      </c>
      <c r="BU363" s="23">
        <v>0.25735927018207588</v>
      </c>
      <c r="BV363" t="s">
        <v>888</v>
      </c>
    </row>
    <row r="364" spans="1:74">
      <c r="A364">
        <v>359</v>
      </c>
      <c r="B364" s="1">
        <v>1</v>
      </c>
      <c r="C364">
        <v>1206</v>
      </c>
      <c r="D364" t="s">
        <v>889</v>
      </c>
      <c r="E364">
        <v>2013</v>
      </c>
      <c r="F364" t="s">
        <v>841</v>
      </c>
      <c r="G364" t="s">
        <v>84</v>
      </c>
      <c r="H364" s="52" t="s">
        <v>890</v>
      </c>
      <c r="I364">
        <v>25.3</v>
      </c>
      <c r="J364">
        <v>25.3</v>
      </c>
      <c r="K364">
        <v>25.3</v>
      </c>
      <c r="L364">
        <v>2200</v>
      </c>
      <c r="M364">
        <v>1000</v>
      </c>
      <c r="N364">
        <v>0</v>
      </c>
      <c r="O364">
        <v>0</v>
      </c>
      <c r="P364">
        <v>240</v>
      </c>
      <c r="Q364">
        <v>240</v>
      </c>
      <c r="R364" t="s">
        <v>62</v>
      </c>
      <c r="T364">
        <v>12.7</v>
      </c>
      <c r="U364">
        <v>127</v>
      </c>
      <c r="V364" s="1">
        <v>386</v>
      </c>
      <c r="W364" s="1">
        <v>203</v>
      </c>
      <c r="X364" t="s">
        <v>40</v>
      </c>
      <c r="Y364">
        <v>85</v>
      </c>
      <c r="Z364">
        <v>2</v>
      </c>
      <c r="AA364">
        <v>6.35</v>
      </c>
      <c r="AB364">
        <v>31.7</v>
      </c>
      <c r="AC364">
        <v>399</v>
      </c>
      <c r="AD364">
        <v>204</v>
      </c>
      <c r="AE364">
        <v>5</v>
      </c>
      <c r="AF364">
        <v>24</v>
      </c>
      <c r="AG364">
        <v>0</v>
      </c>
      <c r="AH364">
        <v>0</v>
      </c>
      <c r="AI364">
        <v>5</v>
      </c>
      <c r="AJ364">
        <v>24</v>
      </c>
      <c r="AK364">
        <v>0</v>
      </c>
      <c r="AL364">
        <v>0</v>
      </c>
      <c r="AN364">
        <v>240</v>
      </c>
      <c r="AO364">
        <v>240</v>
      </c>
      <c r="AP364" t="s">
        <v>62</v>
      </c>
      <c r="AR364">
        <v>12.7</v>
      </c>
      <c r="AS364">
        <v>127</v>
      </c>
      <c r="AT364">
        <v>386</v>
      </c>
      <c r="AU364">
        <v>203</v>
      </c>
      <c r="AV364" t="s">
        <v>40</v>
      </c>
      <c r="AW364">
        <v>50</v>
      </c>
      <c r="AX364">
        <v>2</v>
      </c>
      <c r="AY364">
        <v>6.35</v>
      </c>
      <c r="AZ364">
        <v>31.7</v>
      </c>
      <c r="BA364">
        <v>399</v>
      </c>
      <c r="BB364">
        <v>204</v>
      </c>
      <c r="BC364">
        <v>6</v>
      </c>
      <c r="BD364">
        <v>28</v>
      </c>
      <c r="BE364">
        <v>0</v>
      </c>
      <c r="BF364">
        <v>0</v>
      </c>
      <c r="BG364">
        <v>6</v>
      </c>
      <c r="BH364">
        <v>28</v>
      </c>
      <c r="BI364">
        <v>0</v>
      </c>
      <c r="BJ364">
        <v>0</v>
      </c>
      <c r="BM364" t="s">
        <v>166</v>
      </c>
      <c r="BN364" t="s">
        <v>40</v>
      </c>
      <c r="BP364" s="30">
        <v>31.7</v>
      </c>
      <c r="BQ364">
        <v>2</v>
      </c>
      <c r="BR364">
        <v>4</v>
      </c>
      <c r="BS364">
        <v>399</v>
      </c>
      <c r="BT364">
        <v>204</v>
      </c>
      <c r="BU364" s="23">
        <v>0.2751736111111111</v>
      </c>
    </row>
    <row r="365" spans="1:74">
      <c r="A365">
        <v>360</v>
      </c>
      <c r="B365" s="1">
        <v>1</v>
      </c>
      <c r="G365" t="s">
        <v>84</v>
      </c>
      <c r="H365" s="52" t="s">
        <v>891</v>
      </c>
      <c r="I365">
        <v>25.3</v>
      </c>
      <c r="J365">
        <v>25.3</v>
      </c>
      <c r="K365">
        <v>25.3</v>
      </c>
      <c r="L365">
        <v>2200</v>
      </c>
      <c r="M365">
        <v>1000</v>
      </c>
      <c r="N365">
        <v>0</v>
      </c>
      <c r="O365">
        <v>0</v>
      </c>
      <c r="P365">
        <v>240</v>
      </c>
      <c r="Q365">
        <v>240</v>
      </c>
      <c r="R365" t="s">
        <v>62</v>
      </c>
      <c r="T365">
        <v>12.7</v>
      </c>
      <c r="U365">
        <v>127</v>
      </c>
      <c r="V365" s="1">
        <v>386</v>
      </c>
      <c r="W365" s="1">
        <v>203</v>
      </c>
      <c r="X365" t="s">
        <v>40</v>
      </c>
      <c r="Y365">
        <v>85</v>
      </c>
      <c r="Z365">
        <v>2</v>
      </c>
      <c r="AA365">
        <v>6.35</v>
      </c>
      <c r="AB365">
        <v>31.7</v>
      </c>
      <c r="AC365">
        <v>399</v>
      </c>
      <c r="AD365">
        <v>204</v>
      </c>
      <c r="AE365">
        <v>5</v>
      </c>
      <c r="AF365">
        <v>24</v>
      </c>
      <c r="AG365">
        <v>0</v>
      </c>
      <c r="AH365">
        <v>0</v>
      </c>
      <c r="AI365">
        <v>5</v>
      </c>
      <c r="AJ365">
        <v>24</v>
      </c>
      <c r="AK365">
        <v>0</v>
      </c>
      <c r="AL365">
        <v>0</v>
      </c>
      <c r="AN365">
        <v>240</v>
      </c>
      <c r="AO365">
        <v>240</v>
      </c>
      <c r="AP365" t="s">
        <v>39</v>
      </c>
      <c r="AR365">
        <v>15.9</v>
      </c>
      <c r="AS365">
        <v>199</v>
      </c>
      <c r="AT365">
        <v>402</v>
      </c>
      <c r="AU365">
        <v>194</v>
      </c>
      <c r="AV365" t="s">
        <v>40</v>
      </c>
      <c r="AW365">
        <v>50</v>
      </c>
      <c r="AX365">
        <v>2</v>
      </c>
      <c r="AY365">
        <v>6.35</v>
      </c>
      <c r="AZ365">
        <v>31.7</v>
      </c>
      <c r="BA365">
        <v>399</v>
      </c>
      <c r="BB365">
        <v>204</v>
      </c>
      <c r="BC365">
        <v>4</v>
      </c>
      <c r="BD365">
        <v>32.5</v>
      </c>
      <c r="BE365">
        <v>0</v>
      </c>
      <c r="BF365">
        <v>0</v>
      </c>
      <c r="BG365">
        <v>4</v>
      </c>
      <c r="BH365">
        <v>32.5</v>
      </c>
      <c r="BI365">
        <v>0</v>
      </c>
      <c r="BJ365">
        <v>0</v>
      </c>
      <c r="BM365" t="s">
        <v>166</v>
      </c>
      <c r="BN365" t="s">
        <v>40</v>
      </c>
      <c r="BP365" s="30">
        <v>31.7</v>
      </c>
      <c r="BQ365">
        <v>2</v>
      </c>
      <c r="BR365">
        <v>4</v>
      </c>
      <c r="BS365">
        <v>399</v>
      </c>
      <c r="BT365">
        <v>204</v>
      </c>
      <c r="BU365" s="23">
        <v>0.2751736111111111</v>
      </c>
    </row>
    <row r="366" spans="1:74">
      <c r="A366">
        <v>361</v>
      </c>
      <c r="B366" s="1">
        <v>1</v>
      </c>
      <c r="C366">
        <v>1207</v>
      </c>
      <c r="D366" t="s">
        <v>892</v>
      </c>
      <c r="E366">
        <v>2013</v>
      </c>
      <c r="F366" t="s">
        <v>841</v>
      </c>
      <c r="G366" t="s">
        <v>160</v>
      </c>
      <c r="H366" s="52" t="s">
        <v>270</v>
      </c>
      <c r="I366">
        <v>31.4</v>
      </c>
      <c r="J366">
        <v>31.4</v>
      </c>
      <c r="K366">
        <v>31.4</v>
      </c>
      <c r="L366">
        <v>3200</v>
      </c>
      <c r="M366">
        <v>2830</v>
      </c>
      <c r="N366">
        <v>0</v>
      </c>
      <c r="O366">
        <v>384.65</v>
      </c>
      <c r="P366">
        <v>250</v>
      </c>
      <c r="Q366">
        <v>400</v>
      </c>
      <c r="R366" t="s">
        <v>39</v>
      </c>
      <c r="S366" s="30" t="s">
        <v>76</v>
      </c>
      <c r="T366">
        <v>15.9</v>
      </c>
      <c r="U366">
        <v>199</v>
      </c>
      <c r="V366" s="1">
        <v>369</v>
      </c>
      <c r="W366" s="1">
        <v>190</v>
      </c>
      <c r="X366" t="s">
        <v>311</v>
      </c>
      <c r="Y366">
        <v>150</v>
      </c>
      <c r="Z366">
        <v>2</v>
      </c>
      <c r="AA366">
        <v>7.1</v>
      </c>
      <c r="AB366">
        <v>40</v>
      </c>
      <c r="AC366">
        <v>1356</v>
      </c>
      <c r="AD366">
        <v>190</v>
      </c>
      <c r="AE366">
        <v>3</v>
      </c>
      <c r="AF366">
        <v>40</v>
      </c>
      <c r="AG366">
        <v>2</v>
      </c>
      <c r="AH366">
        <v>50</v>
      </c>
      <c r="AI366">
        <v>3</v>
      </c>
      <c r="AJ366">
        <v>40</v>
      </c>
      <c r="AK366">
        <v>2</v>
      </c>
      <c r="AL366">
        <v>50</v>
      </c>
      <c r="AN366">
        <v>350</v>
      </c>
      <c r="AO366">
        <v>350</v>
      </c>
      <c r="AP366" t="s">
        <v>39</v>
      </c>
      <c r="AQ366" s="30" t="s">
        <v>76</v>
      </c>
      <c r="AR366">
        <v>15.9</v>
      </c>
      <c r="AS366">
        <v>199</v>
      </c>
      <c r="AT366">
        <v>362</v>
      </c>
      <c r="AU366">
        <v>192</v>
      </c>
      <c r="AV366" t="s">
        <v>311</v>
      </c>
      <c r="AW366">
        <v>150</v>
      </c>
      <c r="AX366">
        <v>2</v>
      </c>
      <c r="AY366">
        <v>7.1</v>
      </c>
      <c r="AZ366">
        <v>40</v>
      </c>
      <c r="BA366">
        <v>1356</v>
      </c>
      <c r="BB366">
        <v>190</v>
      </c>
      <c r="BC366">
        <v>4</v>
      </c>
      <c r="BD366">
        <v>40</v>
      </c>
      <c r="BE366">
        <v>2</v>
      </c>
      <c r="BF366">
        <v>50</v>
      </c>
      <c r="BG366">
        <v>4</v>
      </c>
      <c r="BH366">
        <v>40</v>
      </c>
      <c r="BI366">
        <v>2</v>
      </c>
      <c r="BJ366">
        <v>50</v>
      </c>
      <c r="BM366" t="s">
        <v>166</v>
      </c>
      <c r="BN366" t="s">
        <v>311</v>
      </c>
      <c r="BP366" s="30">
        <v>40</v>
      </c>
      <c r="BQ366">
        <v>4</v>
      </c>
      <c r="BR366">
        <v>8</v>
      </c>
      <c r="BS366">
        <v>1356</v>
      </c>
      <c r="BT366">
        <v>190</v>
      </c>
      <c r="BU366" s="23">
        <v>0.32653061224489793</v>
      </c>
    </row>
    <row r="367" spans="1:74">
      <c r="A367">
        <v>362</v>
      </c>
      <c r="B367" s="1">
        <v>1</v>
      </c>
      <c r="C367">
        <v>1210</v>
      </c>
      <c r="D367" t="s">
        <v>893</v>
      </c>
      <c r="E367">
        <v>2014</v>
      </c>
      <c r="F367" t="s">
        <v>841</v>
      </c>
      <c r="G367" t="s">
        <v>160</v>
      </c>
      <c r="H367" s="52" t="s">
        <v>894</v>
      </c>
      <c r="I367">
        <v>32.700000000000003</v>
      </c>
      <c r="J367">
        <v>32.700000000000003</v>
      </c>
      <c r="K367">
        <v>32.700000000000003</v>
      </c>
      <c r="L367">
        <v>3000</v>
      </c>
      <c r="M367">
        <v>2550</v>
      </c>
      <c r="N367">
        <v>0</v>
      </c>
      <c r="O367">
        <v>140.20125000000002</v>
      </c>
      <c r="P367">
        <v>350</v>
      </c>
      <c r="Q367">
        <v>350</v>
      </c>
      <c r="R367" t="s">
        <v>39</v>
      </c>
      <c r="S367" s="30" t="s">
        <v>76</v>
      </c>
      <c r="T367">
        <v>15.9</v>
      </c>
      <c r="U367">
        <v>199</v>
      </c>
      <c r="V367" s="1">
        <v>389</v>
      </c>
      <c r="W367" s="1">
        <v>169</v>
      </c>
      <c r="X367" t="s">
        <v>40</v>
      </c>
      <c r="Y367">
        <v>100</v>
      </c>
      <c r="Z367">
        <v>2</v>
      </c>
      <c r="AA367">
        <v>6.35</v>
      </c>
      <c r="AB367">
        <v>31.7</v>
      </c>
      <c r="AC367">
        <v>343</v>
      </c>
      <c r="AD367">
        <v>185</v>
      </c>
      <c r="AE367">
        <v>5</v>
      </c>
      <c r="AF367">
        <v>35</v>
      </c>
      <c r="AG367">
        <v>0</v>
      </c>
      <c r="AH367">
        <v>0</v>
      </c>
      <c r="AI367">
        <v>5</v>
      </c>
      <c r="AJ367">
        <v>35</v>
      </c>
      <c r="AK367">
        <v>0</v>
      </c>
      <c r="AL367">
        <v>0</v>
      </c>
      <c r="AN367">
        <v>350</v>
      </c>
      <c r="AO367">
        <v>350</v>
      </c>
      <c r="AP367" t="s">
        <v>39</v>
      </c>
      <c r="AQ367" s="30" t="s">
        <v>76</v>
      </c>
      <c r="AR367">
        <v>15.9</v>
      </c>
      <c r="AS367">
        <v>199</v>
      </c>
      <c r="AT367">
        <v>389</v>
      </c>
      <c r="AU367">
        <v>169</v>
      </c>
      <c r="AV367" t="s">
        <v>40</v>
      </c>
      <c r="AW367">
        <v>50</v>
      </c>
      <c r="AX367">
        <v>2</v>
      </c>
      <c r="AY367">
        <v>6.35</v>
      </c>
      <c r="AZ367">
        <v>31.7</v>
      </c>
      <c r="BA367">
        <v>343</v>
      </c>
      <c r="BB367">
        <v>185</v>
      </c>
      <c r="BC367">
        <v>4</v>
      </c>
      <c r="BD367">
        <v>35</v>
      </c>
      <c r="BE367">
        <v>0</v>
      </c>
      <c r="BF367">
        <v>0</v>
      </c>
      <c r="BG367">
        <v>4</v>
      </c>
      <c r="BH367">
        <v>35</v>
      </c>
      <c r="BI367">
        <v>0</v>
      </c>
      <c r="BJ367">
        <v>0</v>
      </c>
      <c r="BM367" t="s">
        <v>166</v>
      </c>
      <c r="BN367" t="s">
        <v>40</v>
      </c>
      <c r="BP367" s="30">
        <v>31.7</v>
      </c>
      <c r="BQ367">
        <v>3</v>
      </c>
      <c r="BR367">
        <v>6</v>
      </c>
      <c r="BS367">
        <v>343</v>
      </c>
      <c r="BT367">
        <v>185</v>
      </c>
      <c r="BU367" s="23">
        <v>0.19408163265306119</v>
      </c>
    </row>
    <row r="368" spans="1:74">
      <c r="A368">
        <v>363</v>
      </c>
      <c r="B368" s="1">
        <v>1</v>
      </c>
      <c r="G368" t="s">
        <v>160</v>
      </c>
      <c r="H368" s="52" t="s">
        <v>895</v>
      </c>
      <c r="I368">
        <v>32.700000000000003</v>
      </c>
      <c r="J368">
        <v>32.700000000000003</v>
      </c>
      <c r="K368">
        <v>32.700000000000003</v>
      </c>
      <c r="L368">
        <v>3000</v>
      </c>
      <c r="M368">
        <v>2550</v>
      </c>
      <c r="N368">
        <v>0</v>
      </c>
      <c r="O368">
        <v>500.71875000000006</v>
      </c>
      <c r="P368">
        <v>350</v>
      </c>
      <c r="Q368">
        <v>350</v>
      </c>
      <c r="R368" t="s">
        <v>39</v>
      </c>
      <c r="S368" s="30" t="s">
        <v>76</v>
      </c>
      <c r="T368">
        <v>15.9</v>
      </c>
      <c r="U368">
        <v>199</v>
      </c>
      <c r="V368" s="1">
        <v>389</v>
      </c>
      <c r="W368" s="1">
        <v>169</v>
      </c>
      <c r="X368" t="s">
        <v>40</v>
      </c>
      <c r="Y368">
        <v>100</v>
      </c>
      <c r="Z368">
        <v>2</v>
      </c>
      <c r="AA368">
        <v>6.35</v>
      </c>
      <c r="AB368">
        <v>31.7</v>
      </c>
      <c r="AC368">
        <v>343</v>
      </c>
      <c r="AD368">
        <v>185</v>
      </c>
      <c r="AE368">
        <v>5</v>
      </c>
      <c r="AF368">
        <v>35</v>
      </c>
      <c r="AG368">
        <v>0</v>
      </c>
      <c r="AH368">
        <v>0</v>
      </c>
      <c r="AI368">
        <v>5</v>
      </c>
      <c r="AJ368">
        <v>35</v>
      </c>
      <c r="AK368">
        <v>0</v>
      </c>
      <c r="AL368">
        <v>0</v>
      </c>
      <c r="AN368">
        <v>350</v>
      </c>
      <c r="AO368">
        <v>350</v>
      </c>
      <c r="AP368" t="s">
        <v>39</v>
      </c>
      <c r="AQ368" s="30" t="s">
        <v>76</v>
      </c>
      <c r="AR368">
        <v>15.9</v>
      </c>
      <c r="AS368">
        <v>199</v>
      </c>
      <c r="AT368">
        <v>389</v>
      </c>
      <c r="AU368">
        <v>169</v>
      </c>
      <c r="AV368" t="s">
        <v>40</v>
      </c>
      <c r="AW368">
        <v>50</v>
      </c>
      <c r="AX368">
        <v>2</v>
      </c>
      <c r="AY368">
        <v>6.35</v>
      </c>
      <c r="AZ368">
        <v>31.7</v>
      </c>
      <c r="BA368">
        <v>343</v>
      </c>
      <c r="BB368">
        <v>185</v>
      </c>
      <c r="BC368">
        <v>4</v>
      </c>
      <c r="BD368">
        <v>35</v>
      </c>
      <c r="BE368">
        <v>0</v>
      </c>
      <c r="BF368">
        <v>0</v>
      </c>
      <c r="BG368">
        <v>4</v>
      </c>
      <c r="BH368">
        <v>35</v>
      </c>
      <c r="BI368">
        <v>0</v>
      </c>
      <c r="BJ368">
        <v>0</v>
      </c>
      <c r="BM368" t="s">
        <v>166</v>
      </c>
      <c r="BN368" t="s">
        <v>40</v>
      </c>
      <c r="BP368" s="30">
        <v>31.7</v>
      </c>
      <c r="BQ368">
        <v>3</v>
      </c>
      <c r="BR368">
        <v>6</v>
      </c>
      <c r="BS368">
        <v>343</v>
      </c>
      <c r="BT368">
        <v>185</v>
      </c>
      <c r="BU368" s="23">
        <v>0.19408163265306119</v>
      </c>
    </row>
    <row r="369" spans="1:74">
      <c r="A369">
        <v>364</v>
      </c>
      <c r="B369" s="1">
        <v>1</v>
      </c>
      <c r="C369" s="17">
        <v>1211</v>
      </c>
      <c r="D369" s="17" t="s">
        <v>896</v>
      </c>
      <c r="E369" s="17">
        <v>2014</v>
      </c>
      <c r="F369" s="17" t="s">
        <v>841</v>
      </c>
      <c r="G369" s="17" t="s">
        <v>158</v>
      </c>
      <c r="H369" s="56" t="s">
        <v>897</v>
      </c>
      <c r="I369" s="17">
        <v>8.1</v>
      </c>
      <c r="J369" s="17">
        <v>8.1</v>
      </c>
      <c r="K369" s="17">
        <v>8.1</v>
      </c>
      <c r="L369" s="17">
        <v>3000</v>
      </c>
      <c r="M369" s="17">
        <v>1560</v>
      </c>
      <c r="N369" s="17">
        <v>0</v>
      </c>
      <c r="O369" s="17">
        <v>129.6</v>
      </c>
      <c r="P369" s="17">
        <v>260</v>
      </c>
      <c r="Q369" s="17">
        <v>480</v>
      </c>
      <c r="R369" s="17" t="s">
        <v>898</v>
      </c>
      <c r="S369" s="31" t="s">
        <v>899</v>
      </c>
      <c r="T369" s="17">
        <v>16</v>
      </c>
      <c r="U369" s="17">
        <v>201</v>
      </c>
      <c r="V369" s="7">
        <v>321</v>
      </c>
      <c r="W369" s="7">
        <v>206</v>
      </c>
      <c r="X369" s="17" t="s">
        <v>165</v>
      </c>
      <c r="Y369" s="17">
        <v>160</v>
      </c>
      <c r="Z369" s="17">
        <v>2</v>
      </c>
      <c r="AA369" s="17">
        <v>6</v>
      </c>
      <c r="AB369" s="17">
        <v>28.3</v>
      </c>
      <c r="AC369" s="17">
        <v>417</v>
      </c>
      <c r="AD369" s="17">
        <v>207</v>
      </c>
      <c r="AE369" s="17">
        <v>4</v>
      </c>
      <c r="AF369" s="17">
        <v>50</v>
      </c>
      <c r="AG369" s="17">
        <v>0</v>
      </c>
      <c r="AH369" s="17">
        <v>0</v>
      </c>
      <c r="AI369" s="17">
        <v>4</v>
      </c>
      <c r="AJ369" s="17">
        <v>50</v>
      </c>
      <c r="AK369" s="17">
        <v>0</v>
      </c>
      <c r="AL369" s="17">
        <v>0</v>
      </c>
      <c r="AM369" s="31"/>
      <c r="AN369" s="17">
        <v>400</v>
      </c>
      <c r="AO369" s="17">
        <v>400</v>
      </c>
      <c r="AP369" s="17" t="s">
        <v>898</v>
      </c>
      <c r="AQ369" s="31" t="s">
        <v>899</v>
      </c>
      <c r="AR369" s="17">
        <v>16</v>
      </c>
      <c r="AS369" s="17">
        <v>201</v>
      </c>
      <c r="AT369" s="17">
        <v>321</v>
      </c>
      <c r="AU369" s="17">
        <v>206</v>
      </c>
      <c r="AV369" s="17" t="s">
        <v>246</v>
      </c>
      <c r="AW369" s="17">
        <v>160</v>
      </c>
      <c r="AX369" s="17">
        <v>2</v>
      </c>
      <c r="AY369" s="17">
        <v>9</v>
      </c>
      <c r="AZ369" s="17">
        <v>63.6</v>
      </c>
      <c r="BA369" s="17">
        <v>340</v>
      </c>
      <c r="BB369" s="17">
        <v>206</v>
      </c>
      <c r="BC369" s="17">
        <v>3</v>
      </c>
      <c r="BD369" s="17">
        <v>50</v>
      </c>
      <c r="BE369" s="17">
        <v>0</v>
      </c>
      <c r="BF369" s="17">
        <v>0</v>
      </c>
      <c r="BG369" s="17">
        <v>3</v>
      </c>
      <c r="BH369" s="17">
        <v>50</v>
      </c>
      <c r="BI369" s="17">
        <v>0</v>
      </c>
      <c r="BJ369" s="17">
        <v>0</v>
      </c>
      <c r="BK369" s="31">
        <v>50</v>
      </c>
      <c r="BL369" s="31">
        <v>4</v>
      </c>
      <c r="BM369" s="17" t="s">
        <v>166</v>
      </c>
      <c r="BN369" s="17" t="s">
        <v>246</v>
      </c>
      <c r="BO369" s="31"/>
      <c r="BP369" s="31">
        <v>63.6</v>
      </c>
      <c r="BQ369" s="17">
        <v>2</v>
      </c>
      <c r="BR369" s="17">
        <v>4</v>
      </c>
      <c r="BS369" s="17">
        <v>340</v>
      </c>
      <c r="BT369" s="17">
        <v>206</v>
      </c>
      <c r="BU369" s="86">
        <v>0.16736842105263158</v>
      </c>
      <c r="BV369" s="17" t="s">
        <v>900</v>
      </c>
    </row>
    <row r="370" spans="1:74">
      <c r="A370">
        <v>365</v>
      </c>
      <c r="B370" s="1">
        <v>1</v>
      </c>
      <c r="G370" t="s">
        <v>160</v>
      </c>
      <c r="H370" s="52" t="s">
        <v>901</v>
      </c>
      <c r="I370">
        <v>8.1</v>
      </c>
      <c r="J370">
        <v>8.1</v>
      </c>
      <c r="K370">
        <v>8.1</v>
      </c>
      <c r="L370">
        <v>3000</v>
      </c>
      <c r="M370">
        <v>1560</v>
      </c>
      <c r="N370">
        <v>0</v>
      </c>
      <c r="O370">
        <v>129.6</v>
      </c>
      <c r="P370">
        <v>260</v>
      </c>
      <c r="Q370">
        <v>480</v>
      </c>
      <c r="R370" t="s">
        <v>39</v>
      </c>
      <c r="S370" s="30" t="s">
        <v>268</v>
      </c>
      <c r="T370">
        <v>15.9</v>
      </c>
      <c r="U370">
        <v>199</v>
      </c>
      <c r="V370" s="1">
        <v>360</v>
      </c>
      <c r="W370" s="1">
        <v>190</v>
      </c>
      <c r="X370" t="s">
        <v>165</v>
      </c>
      <c r="Y370">
        <v>160</v>
      </c>
      <c r="Z370">
        <v>2</v>
      </c>
      <c r="AA370">
        <v>6</v>
      </c>
      <c r="AB370">
        <v>28.3</v>
      </c>
      <c r="AC370">
        <v>417</v>
      </c>
      <c r="AD370">
        <v>207</v>
      </c>
      <c r="AE370">
        <v>4</v>
      </c>
      <c r="AF370">
        <v>50</v>
      </c>
      <c r="AG370">
        <v>0</v>
      </c>
      <c r="AH370">
        <v>0</v>
      </c>
      <c r="AI370">
        <v>4</v>
      </c>
      <c r="AJ370">
        <v>50</v>
      </c>
      <c r="AK370">
        <v>0</v>
      </c>
      <c r="AL370">
        <v>0</v>
      </c>
      <c r="AN370">
        <v>400</v>
      </c>
      <c r="AO370">
        <v>400</v>
      </c>
      <c r="AP370" t="s">
        <v>39</v>
      </c>
      <c r="AQ370" s="30" t="s">
        <v>268</v>
      </c>
      <c r="AR370">
        <v>15.9</v>
      </c>
      <c r="AS370">
        <v>199</v>
      </c>
      <c r="AT370">
        <v>360</v>
      </c>
      <c r="AU370">
        <v>190</v>
      </c>
      <c r="AV370" t="s">
        <v>246</v>
      </c>
      <c r="AW370">
        <v>160</v>
      </c>
      <c r="AX370">
        <v>2</v>
      </c>
      <c r="AY370">
        <v>9</v>
      </c>
      <c r="AZ370">
        <v>63.6</v>
      </c>
      <c r="BA370">
        <v>340</v>
      </c>
      <c r="BB370">
        <v>206</v>
      </c>
      <c r="BC370">
        <v>3</v>
      </c>
      <c r="BD370">
        <v>50</v>
      </c>
      <c r="BE370">
        <v>0</v>
      </c>
      <c r="BF370">
        <v>0</v>
      </c>
      <c r="BG370">
        <v>3</v>
      </c>
      <c r="BH370">
        <v>50</v>
      </c>
      <c r="BI370">
        <v>0</v>
      </c>
      <c r="BJ370">
        <v>0</v>
      </c>
      <c r="BK370" s="30">
        <v>50</v>
      </c>
      <c r="BL370" s="30">
        <v>4</v>
      </c>
      <c r="BM370" t="s">
        <v>166</v>
      </c>
      <c r="BN370" t="s">
        <v>246</v>
      </c>
      <c r="BP370" s="30">
        <v>63.6</v>
      </c>
      <c r="BQ370">
        <v>2</v>
      </c>
      <c r="BR370">
        <v>4</v>
      </c>
      <c r="BS370">
        <v>340</v>
      </c>
      <c r="BT370">
        <v>206</v>
      </c>
      <c r="BU370" s="23">
        <v>0.16736842105263158</v>
      </c>
    </row>
    <row r="371" spans="1:74">
      <c r="A371">
        <v>366</v>
      </c>
      <c r="B371" s="1">
        <v>1</v>
      </c>
      <c r="C371" s="17"/>
      <c r="D371" s="17"/>
      <c r="E371" s="17"/>
      <c r="F371" s="17"/>
      <c r="G371" s="17" t="s">
        <v>158</v>
      </c>
      <c r="H371" s="56" t="s">
        <v>902</v>
      </c>
      <c r="I371" s="17">
        <v>8.1</v>
      </c>
      <c r="J371" s="17">
        <v>8.1</v>
      </c>
      <c r="K371" s="17">
        <v>8.1</v>
      </c>
      <c r="L371" s="17">
        <v>3000</v>
      </c>
      <c r="M371" s="17">
        <v>1560</v>
      </c>
      <c r="N371" s="17">
        <v>0</v>
      </c>
      <c r="O371" s="17">
        <v>388.8</v>
      </c>
      <c r="P371" s="17">
        <v>260</v>
      </c>
      <c r="Q371" s="17">
        <v>480</v>
      </c>
      <c r="R371" s="17" t="s">
        <v>898</v>
      </c>
      <c r="S371" s="31" t="s">
        <v>903</v>
      </c>
      <c r="T371" s="17">
        <v>16</v>
      </c>
      <c r="U371" s="17">
        <v>201</v>
      </c>
      <c r="V371" s="7">
        <v>321</v>
      </c>
      <c r="W371" s="7">
        <v>206</v>
      </c>
      <c r="X371" s="17" t="s">
        <v>165</v>
      </c>
      <c r="Y371" s="17">
        <v>160</v>
      </c>
      <c r="Z371" s="17">
        <v>2</v>
      </c>
      <c r="AA371" s="17">
        <v>6</v>
      </c>
      <c r="AB371" s="17">
        <v>28.3</v>
      </c>
      <c r="AC371" s="17">
        <v>417</v>
      </c>
      <c r="AD371" s="17">
        <v>207</v>
      </c>
      <c r="AE371" s="17">
        <v>4</v>
      </c>
      <c r="AF371" s="17">
        <v>50</v>
      </c>
      <c r="AG371" s="17">
        <v>0</v>
      </c>
      <c r="AH371" s="17">
        <v>0</v>
      </c>
      <c r="AI371" s="17">
        <v>4</v>
      </c>
      <c r="AJ371" s="17">
        <v>50</v>
      </c>
      <c r="AK371" s="17">
        <v>0</v>
      </c>
      <c r="AL371" s="17">
        <v>0</v>
      </c>
      <c r="AM371" s="31"/>
      <c r="AN371" s="17">
        <v>400</v>
      </c>
      <c r="AO371" s="17">
        <v>400</v>
      </c>
      <c r="AP371" s="17" t="s">
        <v>898</v>
      </c>
      <c r="AQ371" s="31" t="s">
        <v>903</v>
      </c>
      <c r="AR371" s="17">
        <v>16</v>
      </c>
      <c r="AS371" s="17">
        <v>201</v>
      </c>
      <c r="AT371" s="17">
        <v>321</v>
      </c>
      <c r="AU371" s="17">
        <v>206</v>
      </c>
      <c r="AV371" s="17" t="s">
        <v>246</v>
      </c>
      <c r="AW371" s="17">
        <v>160</v>
      </c>
      <c r="AX371" s="17">
        <v>2</v>
      </c>
      <c r="AY371" s="17">
        <v>9</v>
      </c>
      <c r="AZ371" s="17">
        <v>63.6</v>
      </c>
      <c r="BA371" s="17">
        <v>340</v>
      </c>
      <c r="BB371" s="17">
        <v>206</v>
      </c>
      <c r="BC371" s="17">
        <v>3</v>
      </c>
      <c r="BD371" s="17">
        <v>50</v>
      </c>
      <c r="BE371" s="17">
        <v>0</v>
      </c>
      <c r="BF371" s="17">
        <v>0</v>
      </c>
      <c r="BG371" s="17">
        <v>3</v>
      </c>
      <c r="BH371" s="17">
        <v>50</v>
      </c>
      <c r="BI371" s="17">
        <v>0</v>
      </c>
      <c r="BJ371" s="17">
        <v>0</v>
      </c>
      <c r="BK371" s="31">
        <v>50</v>
      </c>
      <c r="BL371" s="31">
        <v>4</v>
      </c>
      <c r="BM371" s="17" t="s">
        <v>166</v>
      </c>
      <c r="BN371" s="17" t="s">
        <v>246</v>
      </c>
      <c r="BO371" s="31"/>
      <c r="BP371" s="31">
        <v>63.6</v>
      </c>
      <c r="BQ371" s="17">
        <v>2</v>
      </c>
      <c r="BR371" s="17">
        <v>4</v>
      </c>
      <c r="BS371" s="17">
        <v>340</v>
      </c>
      <c r="BT371" s="17">
        <v>206</v>
      </c>
      <c r="BU371" s="86">
        <v>0.16736842105263158</v>
      </c>
      <c r="BV371" s="17" t="s">
        <v>900</v>
      </c>
    </row>
    <row r="372" spans="1:74">
      <c r="A372">
        <v>367</v>
      </c>
      <c r="B372" s="1">
        <v>5</v>
      </c>
      <c r="C372">
        <v>1212</v>
      </c>
      <c r="D372" t="s">
        <v>904</v>
      </c>
      <c r="E372">
        <v>2014</v>
      </c>
      <c r="F372" t="s">
        <v>841</v>
      </c>
      <c r="G372" t="s">
        <v>158</v>
      </c>
      <c r="H372" s="52" t="s">
        <v>905</v>
      </c>
      <c r="I372">
        <v>65.099999999999994</v>
      </c>
      <c r="J372">
        <v>65.099999999999994</v>
      </c>
      <c r="K372">
        <v>65.099999999999994</v>
      </c>
      <c r="L372">
        <v>1800</v>
      </c>
      <c r="M372">
        <v>800</v>
      </c>
      <c r="N372">
        <v>0</v>
      </c>
      <c r="O372">
        <v>1017.1874999999999</v>
      </c>
      <c r="P372">
        <v>170</v>
      </c>
      <c r="Q372">
        <v>230</v>
      </c>
      <c r="R372" t="s">
        <v>39</v>
      </c>
      <c r="S372" s="30" t="s">
        <v>243</v>
      </c>
      <c r="T372">
        <v>15.9</v>
      </c>
      <c r="U372">
        <v>199</v>
      </c>
      <c r="V372" s="1">
        <v>447.9</v>
      </c>
      <c r="W372" s="1">
        <v>184</v>
      </c>
      <c r="X372" t="s">
        <v>300</v>
      </c>
      <c r="Y372">
        <v>35</v>
      </c>
      <c r="Z372">
        <v>2</v>
      </c>
      <c r="AA372">
        <v>6.35</v>
      </c>
      <c r="AB372">
        <v>31.7</v>
      </c>
      <c r="AC372">
        <v>1026.0999999999999</v>
      </c>
      <c r="AD372">
        <v>205</v>
      </c>
      <c r="AE372">
        <v>3</v>
      </c>
      <c r="AF372">
        <v>30</v>
      </c>
      <c r="AG372">
        <v>2</v>
      </c>
      <c r="AH372">
        <v>45</v>
      </c>
      <c r="AI372">
        <v>3</v>
      </c>
      <c r="AJ372">
        <v>30</v>
      </c>
      <c r="AK372">
        <v>0</v>
      </c>
      <c r="AL372">
        <v>0</v>
      </c>
      <c r="AN372">
        <v>250</v>
      </c>
      <c r="AO372">
        <v>250</v>
      </c>
      <c r="AP372" t="s">
        <v>39</v>
      </c>
      <c r="AQ372" s="30" t="s">
        <v>243</v>
      </c>
      <c r="AR372">
        <v>15.9</v>
      </c>
      <c r="AS372">
        <v>199</v>
      </c>
      <c r="AT372">
        <v>447.9</v>
      </c>
      <c r="AU372">
        <v>184</v>
      </c>
      <c r="AV372" t="s">
        <v>300</v>
      </c>
      <c r="AW372">
        <v>35</v>
      </c>
      <c r="AX372">
        <v>2</v>
      </c>
      <c r="AY372">
        <v>6.35</v>
      </c>
      <c r="AZ372">
        <v>31.7</v>
      </c>
      <c r="BA372">
        <v>1026.0999999999999</v>
      </c>
      <c r="BB372">
        <v>205</v>
      </c>
      <c r="BC372">
        <v>3</v>
      </c>
      <c r="BD372">
        <v>30</v>
      </c>
      <c r="BE372">
        <v>0</v>
      </c>
      <c r="BF372">
        <v>0</v>
      </c>
      <c r="BG372">
        <v>3</v>
      </c>
      <c r="BH372">
        <v>30</v>
      </c>
      <c r="BI372">
        <v>0</v>
      </c>
      <c r="BJ372">
        <v>0</v>
      </c>
      <c r="BK372" s="30">
        <v>0</v>
      </c>
      <c r="BL372" s="30">
        <v>2</v>
      </c>
      <c r="BM372" t="s">
        <v>166</v>
      </c>
      <c r="BN372" t="s">
        <v>300</v>
      </c>
      <c r="BP372" s="30">
        <v>31.7</v>
      </c>
      <c r="BQ372">
        <v>4</v>
      </c>
      <c r="BR372">
        <v>8</v>
      </c>
      <c r="BS372">
        <v>1026.0999999999999</v>
      </c>
      <c r="BT372">
        <v>205</v>
      </c>
      <c r="BU372" s="23">
        <v>0.6673684210526315</v>
      </c>
      <c r="BV372" t="s">
        <v>906</v>
      </c>
    </row>
    <row r="373" spans="1:74">
      <c r="A373">
        <v>368</v>
      </c>
      <c r="B373" s="1">
        <v>5</v>
      </c>
      <c r="G373" t="s">
        <v>158</v>
      </c>
      <c r="H373" s="52" t="s">
        <v>907</v>
      </c>
      <c r="I373">
        <v>65.099999999999994</v>
      </c>
      <c r="J373">
        <v>65.099999999999994</v>
      </c>
      <c r="K373">
        <v>65.099999999999994</v>
      </c>
      <c r="L373">
        <v>1800</v>
      </c>
      <c r="M373">
        <v>800</v>
      </c>
      <c r="N373">
        <v>0</v>
      </c>
      <c r="O373">
        <v>1017.1874999999999</v>
      </c>
      <c r="P373">
        <v>170</v>
      </c>
      <c r="Q373">
        <v>230</v>
      </c>
      <c r="R373" t="s">
        <v>39</v>
      </c>
      <c r="S373" s="30" t="s">
        <v>243</v>
      </c>
      <c r="T373">
        <v>15.9</v>
      </c>
      <c r="U373">
        <v>199</v>
      </c>
      <c r="V373" s="1">
        <v>447.9</v>
      </c>
      <c r="W373" s="1">
        <v>184</v>
      </c>
      <c r="X373" t="s">
        <v>300</v>
      </c>
      <c r="Y373">
        <v>35</v>
      </c>
      <c r="Z373">
        <v>2</v>
      </c>
      <c r="AA373">
        <v>6.35</v>
      </c>
      <c r="AB373">
        <v>31.7</v>
      </c>
      <c r="AC373">
        <v>1026.0999999999999</v>
      </c>
      <c r="AD373">
        <v>205</v>
      </c>
      <c r="AE373">
        <v>3</v>
      </c>
      <c r="AF373">
        <v>30</v>
      </c>
      <c r="AG373">
        <v>2</v>
      </c>
      <c r="AH373">
        <v>45</v>
      </c>
      <c r="AI373">
        <v>3</v>
      </c>
      <c r="AJ373">
        <v>30</v>
      </c>
      <c r="AK373">
        <v>0</v>
      </c>
      <c r="AL373">
        <v>0</v>
      </c>
      <c r="AN373">
        <v>250</v>
      </c>
      <c r="AO373">
        <v>250</v>
      </c>
      <c r="AP373" t="s">
        <v>39</v>
      </c>
      <c r="AQ373" s="30" t="s">
        <v>243</v>
      </c>
      <c r="AR373">
        <v>15.9</v>
      </c>
      <c r="AS373">
        <v>199</v>
      </c>
      <c r="AT373">
        <v>447.9</v>
      </c>
      <c r="AU373">
        <v>184</v>
      </c>
      <c r="AV373" t="s">
        <v>300</v>
      </c>
      <c r="AW373">
        <v>35</v>
      </c>
      <c r="AX373">
        <v>2</v>
      </c>
      <c r="AY373">
        <v>6.35</v>
      </c>
      <c r="AZ373">
        <v>31.7</v>
      </c>
      <c r="BA373">
        <v>1026.0999999999999</v>
      </c>
      <c r="BB373">
        <v>205</v>
      </c>
      <c r="BC373">
        <v>3</v>
      </c>
      <c r="BD373">
        <v>30</v>
      </c>
      <c r="BE373">
        <v>0</v>
      </c>
      <c r="BF373">
        <v>0</v>
      </c>
      <c r="BG373">
        <v>3</v>
      </c>
      <c r="BH373">
        <v>30</v>
      </c>
      <c r="BI373">
        <v>0</v>
      </c>
      <c r="BJ373">
        <v>0</v>
      </c>
      <c r="BK373" s="30">
        <v>0</v>
      </c>
      <c r="BL373" s="30">
        <v>2</v>
      </c>
      <c r="BM373" t="s">
        <v>166</v>
      </c>
      <c r="BN373" t="s">
        <v>300</v>
      </c>
      <c r="BP373" s="30">
        <v>31.7</v>
      </c>
      <c r="BQ373">
        <v>4</v>
      </c>
      <c r="BR373">
        <v>8</v>
      </c>
      <c r="BS373">
        <v>1026.0999999999999</v>
      </c>
      <c r="BT373">
        <v>205</v>
      </c>
      <c r="BU373" s="23">
        <v>0.6673684210526315</v>
      </c>
      <c r="BV373" t="s">
        <v>908</v>
      </c>
    </row>
    <row r="374" spans="1:74">
      <c r="A374">
        <v>369</v>
      </c>
      <c r="B374" s="1">
        <v>5</v>
      </c>
      <c r="G374" t="s">
        <v>158</v>
      </c>
      <c r="H374" s="52" t="s">
        <v>909</v>
      </c>
      <c r="I374">
        <v>45.3</v>
      </c>
      <c r="J374">
        <v>45.3</v>
      </c>
      <c r="K374">
        <v>45.3</v>
      </c>
      <c r="L374">
        <v>1800</v>
      </c>
      <c r="M374">
        <v>800</v>
      </c>
      <c r="N374">
        <v>0</v>
      </c>
      <c r="O374">
        <v>356.73750000000001</v>
      </c>
      <c r="P374">
        <v>170</v>
      </c>
      <c r="Q374">
        <v>230</v>
      </c>
      <c r="R374" t="s">
        <v>62</v>
      </c>
      <c r="S374" s="30" t="s">
        <v>243</v>
      </c>
      <c r="T374">
        <v>12.7</v>
      </c>
      <c r="U374">
        <v>127</v>
      </c>
      <c r="V374" s="1">
        <v>421.8</v>
      </c>
      <c r="W374" s="1">
        <v>185</v>
      </c>
      <c r="X374" t="s">
        <v>300</v>
      </c>
      <c r="Y374">
        <v>35</v>
      </c>
      <c r="Z374">
        <v>2</v>
      </c>
      <c r="AA374">
        <v>6.35</v>
      </c>
      <c r="AB374">
        <v>31.7</v>
      </c>
      <c r="AC374">
        <v>1026.0999999999999</v>
      </c>
      <c r="AD374">
        <v>205</v>
      </c>
      <c r="AE374">
        <v>3</v>
      </c>
      <c r="AF374">
        <v>30</v>
      </c>
      <c r="AG374">
        <v>2</v>
      </c>
      <c r="AH374">
        <v>45</v>
      </c>
      <c r="AI374">
        <v>3</v>
      </c>
      <c r="AJ374">
        <v>30</v>
      </c>
      <c r="AK374">
        <v>0</v>
      </c>
      <c r="AL374">
        <v>0</v>
      </c>
      <c r="AN374">
        <v>250</v>
      </c>
      <c r="AO374">
        <v>250</v>
      </c>
      <c r="AP374" t="s">
        <v>62</v>
      </c>
      <c r="AQ374" s="30" t="s">
        <v>243</v>
      </c>
      <c r="AR374">
        <v>12.7</v>
      </c>
      <c r="AS374">
        <v>127</v>
      </c>
      <c r="AT374">
        <v>421.8</v>
      </c>
      <c r="AU374">
        <v>185</v>
      </c>
      <c r="AV374" t="s">
        <v>300</v>
      </c>
      <c r="AW374">
        <v>35</v>
      </c>
      <c r="AX374">
        <v>2</v>
      </c>
      <c r="AY374">
        <v>6.35</v>
      </c>
      <c r="AZ374">
        <v>31.7</v>
      </c>
      <c r="BA374">
        <v>1026.0999999999999</v>
      </c>
      <c r="BB374">
        <v>205</v>
      </c>
      <c r="BC374">
        <v>3</v>
      </c>
      <c r="BD374">
        <v>30</v>
      </c>
      <c r="BE374">
        <v>0</v>
      </c>
      <c r="BF374">
        <v>0</v>
      </c>
      <c r="BG374">
        <v>3</v>
      </c>
      <c r="BH374">
        <v>30</v>
      </c>
      <c r="BI374">
        <v>0</v>
      </c>
      <c r="BJ374">
        <v>0</v>
      </c>
      <c r="BK374" s="30">
        <v>0</v>
      </c>
      <c r="BL374" s="30">
        <v>2</v>
      </c>
      <c r="BM374" t="s">
        <v>166</v>
      </c>
      <c r="BN374" t="s">
        <v>300</v>
      </c>
      <c r="BP374" s="30">
        <v>31.7</v>
      </c>
      <c r="BQ374">
        <v>4</v>
      </c>
      <c r="BR374">
        <v>8</v>
      </c>
      <c r="BS374">
        <v>1026.0999999999999</v>
      </c>
      <c r="BT374">
        <v>205</v>
      </c>
      <c r="BU374" s="23">
        <v>0.6673684210526315</v>
      </c>
      <c r="BV374" t="s">
        <v>910</v>
      </c>
    </row>
    <row r="375" spans="1:74">
      <c r="A375">
        <v>370</v>
      </c>
      <c r="B375" s="1">
        <v>5</v>
      </c>
      <c r="G375" t="s">
        <v>158</v>
      </c>
      <c r="H375" s="52" t="s">
        <v>911</v>
      </c>
      <c r="I375">
        <v>45.3</v>
      </c>
      <c r="J375">
        <v>45.3</v>
      </c>
      <c r="K375">
        <v>45.3</v>
      </c>
      <c r="L375">
        <v>1800</v>
      </c>
      <c r="M375">
        <v>800</v>
      </c>
      <c r="N375">
        <v>0</v>
      </c>
      <c r="O375">
        <v>356.73750000000001</v>
      </c>
      <c r="P375">
        <v>170</v>
      </c>
      <c r="Q375">
        <v>230</v>
      </c>
      <c r="R375" t="s">
        <v>62</v>
      </c>
      <c r="S375" s="30" t="s">
        <v>243</v>
      </c>
      <c r="T375">
        <v>12.7</v>
      </c>
      <c r="U375">
        <v>127</v>
      </c>
      <c r="V375" s="1">
        <v>421.8</v>
      </c>
      <c r="W375" s="1">
        <v>185</v>
      </c>
      <c r="X375" t="s">
        <v>300</v>
      </c>
      <c r="Y375">
        <v>35</v>
      </c>
      <c r="Z375">
        <v>2</v>
      </c>
      <c r="AA375">
        <v>6.35</v>
      </c>
      <c r="AB375">
        <v>31.7</v>
      </c>
      <c r="AC375">
        <v>1026.0999999999999</v>
      </c>
      <c r="AD375">
        <v>205</v>
      </c>
      <c r="AE375">
        <v>3</v>
      </c>
      <c r="AF375">
        <v>30</v>
      </c>
      <c r="AG375">
        <v>2</v>
      </c>
      <c r="AH375">
        <v>45</v>
      </c>
      <c r="AI375">
        <v>3</v>
      </c>
      <c r="AJ375">
        <v>30</v>
      </c>
      <c r="AK375">
        <v>0</v>
      </c>
      <c r="AL375">
        <v>0</v>
      </c>
      <c r="AN375">
        <v>250</v>
      </c>
      <c r="AO375">
        <v>250</v>
      </c>
      <c r="AP375" t="s">
        <v>62</v>
      </c>
      <c r="AQ375" s="30" t="s">
        <v>243</v>
      </c>
      <c r="AR375">
        <v>12.7</v>
      </c>
      <c r="AS375">
        <v>127</v>
      </c>
      <c r="AT375">
        <v>421.8</v>
      </c>
      <c r="AU375">
        <v>185</v>
      </c>
      <c r="AV375" t="s">
        <v>300</v>
      </c>
      <c r="AW375">
        <v>35</v>
      </c>
      <c r="AX375">
        <v>2</v>
      </c>
      <c r="AY375">
        <v>6.35</v>
      </c>
      <c r="AZ375">
        <v>31.7</v>
      </c>
      <c r="BA375">
        <v>1026.0999999999999</v>
      </c>
      <c r="BB375">
        <v>205</v>
      </c>
      <c r="BC375">
        <v>3</v>
      </c>
      <c r="BD375">
        <v>30</v>
      </c>
      <c r="BE375">
        <v>0</v>
      </c>
      <c r="BF375">
        <v>0</v>
      </c>
      <c r="BG375">
        <v>3</v>
      </c>
      <c r="BH375">
        <v>30</v>
      </c>
      <c r="BI375">
        <v>0</v>
      </c>
      <c r="BJ375">
        <v>0</v>
      </c>
      <c r="BK375" s="30">
        <v>0</v>
      </c>
      <c r="BL375" s="30">
        <v>2</v>
      </c>
      <c r="BM375" t="s">
        <v>166</v>
      </c>
      <c r="BN375" t="s">
        <v>300</v>
      </c>
      <c r="BP375" s="30">
        <v>31.7</v>
      </c>
      <c r="BQ375">
        <v>4</v>
      </c>
      <c r="BR375">
        <v>8</v>
      </c>
      <c r="BS375">
        <v>1026.0999999999999</v>
      </c>
      <c r="BT375">
        <v>205</v>
      </c>
      <c r="BU375" s="23">
        <v>0.6673684210526315</v>
      </c>
      <c r="BV375" t="s">
        <v>912</v>
      </c>
    </row>
    <row r="376" spans="1:74">
      <c r="A376">
        <v>371</v>
      </c>
      <c r="B376" s="1">
        <v>1</v>
      </c>
      <c r="C376">
        <v>1213</v>
      </c>
      <c r="D376" t="s">
        <v>913</v>
      </c>
      <c r="E376">
        <v>2014</v>
      </c>
      <c r="F376" t="s">
        <v>841</v>
      </c>
      <c r="G376" t="s">
        <v>84</v>
      </c>
      <c r="H376" s="52" t="s">
        <v>914</v>
      </c>
      <c r="I376">
        <v>106.3</v>
      </c>
      <c r="J376">
        <v>106.3</v>
      </c>
      <c r="K376">
        <v>106.3</v>
      </c>
      <c r="L376">
        <v>3024</v>
      </c>
      <c r="M376">
        <v>1600</v>
      </c>
      <c r="N376">
        <v>0</v>
      </c>
      <c r="O376">
        <v>2604.35</v>
      </c>
      <c r="P376">
        <v>255</v>
      </c>
      <c r="Q376">
        <v>350</v>
      </c>
      <c r="R376" t="s">
        <v>162</v>
      </c>
      <c r="S376" s="30" t="s">
        <v>256</v>
      </c>
      <c r="T376">
        <v>22.2</v>
      </c>
      <c r="U376">
        <v>387</v>
      </c>
      <c r="V376" s="1">
        <v>551.5</v>
      </c>
      <c r="W376" s="1">
        <v>197</v>
      </c>
      <c r="X376" t="s">
        <v>40</v>
      </c>
      <c r="Y376">
        <v>75</v>
      </c>
      <c r="Z376">
        <v>4</v>
      </c>
      <c r="AA376">
        <v>6.35</v>
      </c>
      <c r="AB376">
        <v>31.7</v>
      </c>
      <c r="AC376">
        <v>905.3</v>
      </c>
      <c r="AD376">
        <v>188</v>
      </c>
      <c r="AE376">
        <v>4</v>
      </c>
      <c r="AF376">
        <v>38.5</v>
      </c>
      <c r="AG376">
        <v>4</v>
      </c>
      <c r="AH376">
        <v>58</v>
      </c>
      <c r="AI376">
        <v>4</v>
      </c>
      <c r="AJ376">
        <v>38.5</v>
      </c>
      <c r="AK376">
        <v>4</v>
      </c>
      <c r="AL376">
        <v>58</v>
      </c>
      <c r="AN376">
        <v>350</v>
      </c>
      <c r="AO376">
        <v>350</v>
      </c>
      <c r="AP376" t="s">
        <v>39</v>
      </c>
      <c r="AQ376" s="30" t="s">
        <v>256</v>
      </c>
      <c r="AR376">
        <v>15.9</v>
      </c>
      <c r="AS376">
        <v>199</v>
      </c>
      <c r="AT376">
        <v>562.79999999999995</v>
      </c>
      <c r="AU376">
        <v>195</v>
      </c>
      <c r="AV376" t="s">
        <v>40</v>
      </c>
      <c r="AW376">
        <v>50</v>
      </c>
      <c r="AX376">
        <v>4</v>
      </c>
      <c r="AY376">
        <v>6.35</v>
      </c>
      <c r="AZ376">
        <v>31.7</v>
      </c>
      <c r="BA376">
        <v>905.3</v>
      </c>
      <c r="BB376">
        <v>188</v>
      </c>
      <c r="BC376">
        <v>4</v>
      </c>
      <c r="BD376">
        <v>78.5</v>
      </c>
      <c r="BE376">
        <v>2</v>
      </c>
      <c r="BF376">
        <v>70</v>
      </c>
      <c r="BG376">
        <v>4</v>
      </c>
      <c r="BH376">
        <v>48.5</v>
      </c>
      <c r="BI376">
        <v>2</v>
      </c>
      <c r="BJ376">
        <v>70</v>
      </c>
      <c r="BK376" s="30">
        <v>0</v>
      </c>
      <c r="BL376" s="30">
        <v>0</v>
      </c>
      <c r="BM376" t="s">
        <v>915</v>
      </c>
      <c r="BN376" t="s">
        <v>40</v>
      </c>
      <c r="BP376" s="30">
        <v>31.7</v>
      </c>
      <c r="BQ376">
        <v>3</v>
      </c>
      <c r="BR376">
        <v>12</v>
      </c>
      <c r="BS376">
        <v>905.3</v>
      </c>
      <c r="BT376">
        <v>188</v>
      </c>
      <c r="BU376" s="23">
        <v>0.50551495016611292</v>
      </c>
      <c r="BV376" t="s">
        <v>916</v>
      </c>
    </row>
    <row r="377" spans="1:74">
      <c r="A377">
        <v>372</v>
      </c>
      <c r="B377" s="1">
        <v>1</v>
      </c>
      <c r="G377" t="s">
        <v>84</v>
      </c>
      <c r="H377" s="52" t="s">
        <v>917</v>
      </c>
      <c r="I377">
        <v>120</v>
      </c>
      <c r="J377">
        <v>120</v>
      </c>
      <c r="K377">
        <v>120</v>
      </c>
      <c r="L377">
        <v>3024</v>
      </c>
      <c r="M377">
        <v>1600</v>
      </c>
      <c r="N377">
        <v>0</v>
      </c>
      <c r="O377">
        <v>2940</v>
      </c>
      <c r="P377">
        <v>255</v>
      </c>
      <c r="Q377">
        <v>350</v>
      </c>
      <c r="R377" t="s">
        <v>162</v>
      </c>
      <c r="S377" s="30" t="s">
        <v>256</v>
      </c>
      <c r="T377">
        <v>22.2</v>
      </c>
      <c r="U377">
        <v>387</v>
      </c>
      <c r="V377" s="1">
        <v>551.5</v>
      </c>
      <c r="W377" s="1">
        <v>197</v>
      </c>
      <c r="X377" t="s">
        <v>40</v>
      </c>
      <c r="Y377">
        <v>75</v>
      </c>
      <c r="Z377">
        <v>4</v>
      </c>
      <c r="AA377">
        <v>6.35</v>
      </c>
      <c r="AB377">
        <v>31.7</v>
      </c>
      <c r="AC377">
        <v>905.3</v>
      </c>
      <c r="AD377">
        <v>188</v>
      </c>
      <c r="AE377">
        <v>4</v>
      </c>
      <c r="AF377">
        <v>38.5</v>
      </c>
      <c r="AG377">
        <v>4</v>
      </c>
      <c r="AH377">
        <v>58</v>
      </c>
      <c r="AI377">
        <v>4</v>
      </c>
      <c r="AJ377">
        <v>38.5</v>
      </c>
      <c r="AK377">
        <v>4</v>
      </c>
      <c r="AL377">
        <v>58</v>
      </c>
      <c r="AN377">
        <v>350</v>
      </c>
      <c r="AO377">
        <v>350</v>
      </c>
      <c r="AP377" t="s">
        <v>39</v>
      </c>
      <c r="AQ377" s="30" t="s">
        <v>256</v>
      </c>
      <c r="AR377">
        <v>15.9</v>
      </c>
      <c r="AS377">
        <v>199</v>
      </c>
      <c r="AT377">
        <v>562.79999999999995</v>
      </c>
      <c r="AU377">
        <v>195</v>
      </c>
      <c r="AV377" t="s">
        <v>40</v>
      </c>
      <c r="AW377">
        <v>50</v>
      </c>
      <c r="AX377">
        <v>4</v>
      </c>
      <c r="AY377">
        <v>6.35</v>
      </c>
      <c r="AZ377">
        <v>31.7</v>
      </c>
      <c r="BA377">
        <v>905.3</v>
      </c>
      <c r="BB377">
        <v>188</v>
      </c>
      <c r="BC377">
        <v>4</v>
      </c>
      <c r="BD377">
        <v>78.5</v>
      </c>
      <c r="BE377">
        <v>2</v>
      </c>
      <c r="BF377">
        <v>70</v>
      </c>
      <c r="BG377">
        <v>4</v>
      </c>
      <c r="BH377">
        <v>48.5</v>
      </c>
      <c r="BI377">
        <v>2</v>
      </c>
      <c r="BJ377">
        <v>70</v>
      </c>
      <c r="BK377" s="30">
        <v>0</v>
      </c>
      <c r="BL377" s="30">
        <v>0</v>
      </c>
      <c r="BM377" t="s">
        <v>915</v>
      </c>
      <c r="BN377" t="s">
        <v>40</v>
      </c>
      <c r="BP377" s="30">
        <v>31.7</v>
      </c>
      <c r="BQ377">
        <v>3</v>
      </c>
      <c r="BR377">
        <v>12</v>
      </c>
      <c r="BS377">
        <v>905.3</v>
      </c>
      <c r="BT377">
        <v>188</v>
      </c>
      <c r="BU377" s="23">
        <v>0.50551495016611292</v>
      </c>
      <c r="BV377" t="s">
        <v>918</v>
      </c>
    </row>
    <row r="378" spans="1:74">
      <c r="A378">
        <v>373</v>
      </c>
      <c r="B378" s="1">
        <v>1</v>
      </c>
      <c r="C378">
        <v>1216</v>
      </c>
      <c r="D378" t="s">
        <v>919</v>
      </c>
      <c r="E378">
        <v>2015</v>
      </c>
      <c r="F378" t="s">
        <v>841</v>
      </c>
      <c r="G378" t="s">
        <v>160</v>
      </c>
      <c r="H378" s="52" t="s">
        <v>920</v>
      </c>
      <c r="I378">
        <v>34.700000000000003</v>
      </c>
      <c r="J378">
        <v>34.700000000000003</v>
      </c>
      <c r="K378">
        <v>34.700000000000003</v>
      </c>
      <c r="L378">
        <v>3200</v>
      </c>
      <c r="M378">
        <v>2830</v>
      </c>
      <c r="N378">
        <v>0</v>
      </c>
      <c r="O378">
        <v>680.12</v>
      </c>
      <c r="P378">
        <v>250</v>
      </c>
      <c r="Q378">
        <v>400</v>
      </c>
      <c r="R378" t="s">
        <v>39</v>
      </c>
      <c r="S378" s="30" t="s">
        <v>76</v>
      </c>
      <c r="T378">
        <v>15.9</v>
      </c>
      <c r="U378">
        <v>199</v>
      </c>
      <c r="V378" s="1">
        <v>371</v>
      </c>
      <c r="W378" s="1">
        <v>192</v>
      </c>
      <c r="X378" t="s">
        <v>311</v>
      </c>
      <c r="Y378">
        <v>150</v>
      </c>
      <c r="Z378">
        <v>2</v>
      </c>
      <c r="AA378">
        <v>7.1</v>
      </c>
      <c r="AB378">
        <v>40</v>
      </c>
      <c r="AC378">
        <v>1309</v>
      </c>
      <c r="AD378">
        <v>189</v>
      </c>
      <c r="AE378">
        <v>4</v>
      </c>
      <c r="AF378">
        <v>40</v>
      </c>
      <c r="AG378">
        <v>2</v>
      </c>
      <c r="AH378">
        <v>50</v>
      </c>
      <c r="AI378">
        <v>4</v>
      </c>
      <c r="AJ378">
        <v>40</v>
      </c>
      <c r="AK378">
        <v>2</v>
      </c>
      <c r="AL378">
        <v>50</v>
      </c>
      <c r="AN378">
        <v>350</v>
      </c>
      <c r="AO378">
        <v>350</v>
      </c>
      <c r="AP378" t="s">
        <v>39</v>
      </c>
      <c r="AQ378" s="30" t="s">
        <v>76</v>
      </c>
      <c r="AR378">
        <v>15.9</v>
      </c>
      <c r="AS378">
        <v>199</v>
      </c>
      <c r="AT378">
        <v>371</v>
      </c>
      <c r="AU378">
        <v>192</v>
      </c>
      <c r="AV378" t="s">
        <v>311</v>
      </c>
      <c r="AW378">
        <v>100</v>
      </c>
      <c r="AX378">
        <v>2</v>
      </c>
      <c r="AY378">
        <v>7.1</v>
      </c>
      <c r="AZ378">
        <v>40</v>
      </c>
      <c r="BA378">
        <v>1309</v>
      </c>
      <c r="BB378">
        <v>189</v>
      </c>
      <c r="BC378">
        <v>5</v>
      </c>
      <c r="BD378">
        <v>40</v>
      </c>
      <c r="BE378">
        <v>0</v>
      </c>
      <c r="BF378">
        <v>0</v>
      </c>
      <c r="BG378">
        <v>5</v>
      </c>
      <c r="BH378">
        <v>40</v>
      </c>
      <c r="BI378">
        <v>0</v>
      </c>
      <c r="BJ378">
        <v>0</v>
      </c>
      <c r="BM378" t="s">
        <v>166</v>
      </c>
      <c r="BN378" t="s">
        <v>311</v>
      </c>
      <c r="BP378" s="30">
        <v>40</v>
      </c>
      <c r="BQ378">
        <v>4</v>
      </c>
      <c r="BR378">
        <v>8</v>
      </c>
      <c r="BS378">
        <v>1309</v>
      </c>
      <c r="BT378">
        <v>189</v>
      </c>
      <c r="BU378" s="23">
        <v>0.318936877076412</v>
      </c>
    </row>
    <row r="379" spans="1:74">
      <c r="A379">
        <v>374</v>
      </c>
      <c r="B379" s="1">
        <v>1</v>
      </c>
      <c r="G379" t="s">
        <v>158</v>
      </c>
      <c r="H379" s="52" t="s">
        <v>921</v>
      </c>
      <c r="I379">
        <v>43.9</v>
      </c>
      <c r="J379">
        <v>43.9</v>
      </c>
      <c r="K379">
        <v>43.9</v>
      </c>
      <c r="L379">
        <v>3200</v>
      </c>
      <c r="M379">
        <v>2830</v>
      </c>
      <c r="N379">
        <v>0</v>
      </c>
      <c r="O379">
        <v>806.66250000000002</v>
      </c>
      <c r="P379">
        <v>250</v>
      </c>
      <c r="Q379">
        <v>400</v>
      </c>
      <c r="R379" t="s">
        <v>39</v>
      </c>
      <c r="S379" s="30" t="s">
        <v>76</v>
      </c>
      <c r="T379">
        <v>15.9</v>
      </c>
      <c r="U379">
        <v>199</v>
      </c>
      <c r="V379" s="1">
        <v>396</v>
      </c>
      <c r="W379" s="1">
        <v>191</v>
      </c>
      <c r="X379" t="s">
        <v>311</v>
      </c>
      <c r="Y379">
        <v>100</v>
      </c>
      <c r="Z379">
        <v>2</v>
      </c>
      <c r="AA379">
        <v>7.1</v>
      </c>
      <c r="AB379">
        <v>40</v>
      </c>
      <c r="AC379">
        <v>1434</v>
      </c>
      <c r="AD379">
        <v>202</v>
      </c>
      <c r="AE379">
        <v>4</v>
      </c>
      <c r="AF379">
        <v>40</v>
      </c>
      <c r="AG379">
        <v>0</v>
      </c>
      <c r="AH379">
        <v>0</v>
      </c>
      <c r="AI379">
        <v>4</v>
      </c>
      <c r="AJ379">
        <v>40</v>
      </c>
      <c r="AK379">
        <v>0</v>
      </c>
      <c r="AL379">
        <v>0</v>
      </c>
      <c r="AN379">
        <v>350</v>
      </c>
      <c r="AO379">
        <v>350</v>
      </c>
      <c r="AP379" t="s">
        <v>39</v>
      </c>
      <c r="AQ379" s="30" t="s">
        <v>76</v>
      </c>
      <c r="AR379">
        <v>15.9</v>
      </c>
      <c r="AS379">
        <v>199</v>
      </c>
      <c r="AT379">
        <v>396</v>
      </c>
      <c r="AU379">
        <v>191</v>
      </c>
      <c r="AV379" t="s">
        <v>311</v>
      </c>
      <c r="AW379">
        <v>100</v>
      </c>
      <c r="AX379">
        <v>2</v>
      </c>
      <c r="AY379">
        <v>7.1</v>
      </c>
      <c r="AZ379">
        <v>40</v>
      </c>
      <c r="BA379">
        <v>1434</v>
      </c>
      <c r="BB379">
        <v>202</v>
      </c>
      <c r="BC379">
        <v>4</v>
      </c>
      <c r="BD379">
        <v>40</v>
      </c>
      <c r="BE379">
        <v>2</v>
      </c>
      <c r="BF379">
        <v>50</v>
      </c>
      <c r="BG379">
        <v>4</v>
      </c>
      <c r="BH379">
        <v>40</v>
      </c>
      <c r="BI379">
        <v>2</v>
      </c>
      <c r="BJ379">
        <v>50</v>
      </c>
      <c r="BM379" t="s">
        <v>166</v>
      </c>
      <c r="BN379" t="s">
        <v>311</v>
      </c>
      <c r="BP379" s="30">
        <v>40</v>
      </c>
      <c r="BQ379">
        <v>4</v>
      </c>
      <c r="BR379">
        <v>8</v>
      </c>
      <c r="BS379">
        <v>1434</v>
      </c>
      <c r="BT379">
        <v>202</v>
      </c>
      <c r="BU379" s="23">
        <v>0.2857142857142857</v>
      </c>
    </row>
    <row r="380" spans="1:74">
      <c r="A380">
        <v>375</v>
      </c>
      <c r="B380" s="1">
        <v>1</v>
      </c>
      <c r="C380">
        <v>1217</v>
      </c>
      <c r="D380" t="s">
        <v>922</v>
      </c>
      <c r="E380">
        <v>2015</v>
      </c>
      <c r="F380" t="s">
        <v>841</v>
      </c>
      <c r="G380" t="s">
        <v>160</v>
      </c>
      <c r="H380" s="52" t="s">
        <v>923</v>
      </c>
      <c r="I380">
        <v>51.6</v>
      </c>
      <c r="J380">
        <v>51.6</v>
      </c>
      <c r="K380">
        <v>51.6</v>
      </c>
      <c r="L380">
        <v>2200</v>
      </c>
      <c r="M380">
        <v>1000</v>
      </c>
      <c r="N380">
        <v>0</v>
      </c>
      <c r="O380">
        <v>0</v>
      </c>
      <c r="P380">
        <v>240</v>
      </c>
      <c r="Q380">
        <v>240</v>
      </c>
      <c r="R380" t="s">
        <v>62</v>
      </c>
      <c r="S380" s="30" t="s">
        <v>76</v>
      </c>
      <c r="T380">
        <v>12.7</v>
      </c>
      <c r="U380">
        <v>127</v>
      </c>
      <c r="V380" s="1">
        <v>375</v>
      </c>
      <c r="W380" s="1">
        <v>185</v>
      </c>
      <c r="X380" t="s">
        <v>40</v>
      </c>
      <c r="Y380">
        <v>85</v>
      </c>
      <c r="Z380">
        <v>2</v>
      </c>
      <c r="AA380">
        <v>6.35</v>
      </c>
      <c r="AB380">
        <v>31.7</v>
      </c>
      <c r="AC380">
        <v>334</v>
      </c>
      <c r="AD380">
        <v>186</v>
      </c>
      <c r="AE380">
        <v>5</v>
      </c>
      <c r="AF380">
        <v>24</v>
      </c>
      <c r="AG380">
        <v>0</v>
      </c>
      <c r="AH380">
        <v>0</v>
      </c>
      <c r="AI380">
        <v>5</v>
      </c>
      <c r="AJ380">
        <v>24</v>
      </c>
      <c r="AK380">
        <v>0</v>
      </c>
      <c r="AL380">
        <v>0</v>
      </c>
      <c r="AN380">
        <v>240</v>
      </c>
      <c r="AO380">
        <v>240</v>
      </c>
      <c r="AP380" t="s">
        <v>62</v>
      </c>
      <c r="AQ380" s="30" t="s">
        <v>76</v>
      </c>
      <c r="AR380">
        <v>12.7</v>
      </c>
      <c r="AS380">
        <v>127</v>
      </c>
      <c r="AT380">
        <v>375</v>
      </c>
      <c r="AU380">
        <v>185</v>
      </c>
      <c r="AV380" t="s">
        <v>40</v>
      </c>
      <c r="AW380">
        <v>35</v>
      </c>
      <c r="AX380">
        <v>2</v>
      </c>
      <c r="AY380">
        <v>6.35</v>
      </c>
      <c r="AZ380">
        <v>31.7</v>
      </c>
      <c r="BA380">
        <v>334</v>
      </c>
      <c r="BB380">
        <v>186</v>
      </c>
      <c r="BC380">
        <v>4</v>
      </c>
      <c r="BD380">
        <v>24</v>
      </c>
      <c r="BE380">
        <v>0</v>
      </c>
      <c r="BF380">
        <v>0</v>
      </c>
      <c r="BG380">
        <v>4</v>
      </c>
      <c r="BH380">
        <v>24</v>
      </c>
      <c r="BI380">
        <v>0</v>
      </c>
      <c r="BJ380">
        <v>0</v>
      </c>
      <c r="BK380" s="30">
        <v>0</v>
      </c>
      <c r="BL380" s="30">
        <v>2</v>
      </c>
      <c r="BM380" t="s">
        <v>166</v>
      </c>
      <c r="BN380" t="s">
        <v>40</v>
      </c>
      <c r="BP380" s="30">
        <v>31.7</v>
      </c>
      <c r="BQ380">
        <v>2</v>
      </c>
      <c r="BR380">
        <v>4</v>
      </c>
      <c r="BS380">
        <v>334</v>
      </c>
      <c r="BT380">
        <v>186</v>
      </c>
      <c r="BU380" s="23">
        <v>0.2751736111111111</v>
      </c>
    </row>
    <row r="381" spans="1:74">
      <c r="A381">
        <v>376</v>
      </c>
      <c r="B381" s="1">
        <v>1</v>
      </c>
      <c r="G381" t="s">
        <v>160</v>
      </c>
      <c r="H381" s="52" t="s">
        <v>924</v>
      </c>
      <c r="I381">
        <v>51.6</v>
      </c>
      <c r="J381">
        <v>51.6</v>
      </c>
      <c r="K381">
        <v>51.6</v>
      </c>
      <c r="L381">
        <v>2200</v>
      </c>
      <c r="M381">
        <v>1000</v>
      </c>
      <c r="N381">
        <v>0</v>
      </c>
      <c r="O381">
        <v>0</v>
      </c>
      <c r="P381">
        <v>240</v>
      </c>
      <c r="Q381">
        <v>240</v>
      </c>
      <c r="R381" t="s">
        <v>62</v>
      </c>
      <c r="S381" s="30" t="s">
        <v>76</v>
      </c>
      <c r="T381">
        <v>12.7</v>
      </c>
      <c r="U381">
        <v>127</v>
      </c>
      <c r="V381" s="1">
        <v>375</v>
      </c>
      <c r="W381" s="1">
        <v>185</v>
      </c>
      <c r="X381" t="s">
        <v>40</v>
      </c>
      <c r="Y381">
        <v>85</v>
      </c>
      <c r="Z381">
        <v>2</v>
      </c>
      <c r="AA381">
        <v>6.35</v>
      </c>
      <c r="AB381">
        <v>31.7</v>
      </c>
      <c r="AC381">
        <v>334</v>
      </c>
      <c r="AD381">
        <v>186</v>
      </c>
      <c r="AE381">
        <v>5</v>
      </c>
      <c r="AF381">
        <v>24</v>
      </c>
      <c r="AG381">
        <v>0</v>
      </c>
      <c r="AH381">
        <v>0</v>
      </c>
      <c r="AI381">
        <v>5</v>
      </c>
      <c r="AJ381">
        <v>24</v>
      </c>
      <c r="AK381">
        <v>0</v>
      </c>
      <c r="AL381">
        <v>0</v>
      </c>
      <c r="AN381">
        <v>240</v>
      </c>
      <c r="AO381">
        <v>240</v>
      </c>
      <c r="AP381" t="s">
        <v>62</v>
      </c>
      <c r="AQ381" s="30" t="s">
        <v>76</v>
      </c>
      <c r="AR381">
        <v>12.7</v>
      </c>
      <c r="AS381">
        <v>127</v>
      </c>
      <c r="AT381">
        <v>375</v>
      </c>
      <c r="AU381">
        <v>185</v>
      </c>
      <c r="AV381" t="s">
        <v>40</v>
      </c>
      <c r="AW381">
        <v>35</v>
      </c>
      <c r="AX381">
        <v>2</v>
      </c>
      <c r="AY381">
        <v>6.35</v>
      </c>
      <c r="AZ381">
        <v>31.7</v>
      </c>
      <c r="BA381">
        <v>334</v>
      </c>
      <c r="BB381">
        <v>186</v>
      </c>
      <c r="BC381">
        <v>6</v>
      </c>
      <c r="BD381">
        <v>24</v>
      </c>
      <c r="BE381">
        <v>2</v>
      </c>
      <c r="BF381">
        <v>38.4</v>
      </c>
      <c r="BG381" s="51">
        <v>6</v>
      </c>
      <c r="BH381">
        <v>24</v>
      </c>
      <c r="BI381">
        <v>2</v>
      </c>
      <c r="BJ381">
        <v>38.4</v>
      </c>
      <c r="BK381" s="30">
        <v>38.4</v>
      </c>
      <c r="BL381" s="30">
        <v>4</v>
      </c>
      <c r="BM381" t="s">
        <v>166</v>
      </c>
      <c r="BN381" t="s">
        <v>40</v>
      </c>
      <c r="BP381" s="30">
        <v>31.7</v>
      </c>
      <c r="BQ381">
        <v>2</v>
      </c>
      <c r="BR381">
        <v>4</v>
      </c>
      <c r="BS381">
        <v>334</v>
      </c>
      <c r="BT381">
        <v>186</v>
      </c>
      <c r="BU381" s="23">
        <v>0.2751736111111111</v>
      </c>
    </row>
    <row r="382" spans="1:74">
      <c r="A382">
        <v>377</v>
      </c>
      <c r="B382" s="1">
        <v>1</v>
      </c>
      <c r="C382">
        <v>1223</v>
      </c>
      <c r="D382" t="s">
        <v>925</v>
      </c>
      <c r="E382">
        <v>2016</v>
      </c>
      <c r="F382" t="s">
        <v>841</v>
      </c>
      <c r="G382" t="s">
        <v>160</v>
      </c>
      <c r="H382" s="52" t="s">
        <v>270</v>
      </c>
      <c r="I382">
        <v>28.6</v>
      </c>
      <c r="J382">
        <v>28.6</v>
      </c>
      <c r="K382">
        <v>28.6</v>
      </c>
      <c r="L382">
        <v>2500</v>
      </c>
      <c r="M382">
        <v>2225</v>
      </c>
      <c r="N382">
        <v>0</v>
      </c>
      <c r="O382">
        <v>0</v>
      </c>
      <c r="P382">
        <v>150</v>
      </c>
      <c r="Q382">
        <v>300</v>
      </c>
      <c r="R382" t="s">
        <v>153</v>
      </c>
      <c r="T382">
        <v>9.5299999999999994</v>
      </c>
      <c r="U382">
        <v>71.3</v>
      </c>
      <c r="V382" s="1">
        <v>830</v>
      </c>
      <c r="W382" s="1">
        <v>215</v>
      </c>
      <c r="X382" t="s">
        <v>926</v>
      </c>
      <c r="Y382">
        <v>50</v>
      </c>
      <c r="Z382">
        <v>4</v>
      </c>
      <c r="AA382">
        <v>4.2300000000000004</v>
      </c>
      <c r="AB382">
        <v>14.05</v>
      </c>
      <c r="AC382">
        <v>344</v>
      </c>
      <c r="AD382">
        <v>194</v>
      </c>
      <c r="AE382">
        <v>5</v>
      </c>
      <c r="AF382">
        <v>25</v>
      </c>
      <c r="AG382">
        <v>0</v>
      </c>
      <c r="AH382">
        <v>0</v>
      </c>
      <c r="AI382">
        <v>5</v>
      </c>
      <c r="AJ382">
        <v>25</v>
      </c>
      <c r="AK382">
        <v>0</v>
      </c>
      <c r="AL382">
        <v>0</v>
      </c>
      <c r="AN382">
        <v>250</v>
      </c>
      <c r="AO382">
        <v>250</v>
      </c>
      <c r="AP382" t="s">
        <v>153</v>
      </c>
      <c r="AR382">
        <v>9.5299999999999994</v>
      </c>
      <c r="AS382">
        <v>71.3</v>
      </c>
      <c r="AT382">
        <v>846</v>
      </c>
      <c r="AU382">
        <v>214</v>
      </c>
      <c r="AV382" t="s">
        <v>926</v>
      </c>
      <c r="AW382">
        <v>40</v>
      </c>
      <c r="AX382">
        <v>4</v>
      </c>
      <c r="AY382">
        <v>4.2300000000000004</v>
      </c>
      <c r="AZ382">
        <v>14.05</v>
      </c>
      <c r="BA382">
        <v>344</v>
      </c>
      <c r="BB382">
        <v>194</v>
      </c>
      <c r="BC382">
        <v>6</v>
      </c>
      <c r="BD382">
        <v>25</v>
      </c>
      <c r="BE382">
        <v>0</v>
      </c>
      <c r="BF382">
        <v>0</v>
      </c>
      <c r="BG382">
        <v>6</v>
      </c>
      <c r="BH382">
        <v>25</v>
      </c>
      <c r="BI382">
        <v>0</v>
      </c>
      <c r="BJ382">
        <v>0</v>
      </c>
      <c r="BM382" t="s">
        <v>166</v>
      </c>
      <c r="BN382" t="s">
        <v>926</v>
      </c>
      <c r="BP382" s="30">
        <v>14.05</v>
      </c>
      <c r="BQ382">
        <v>5</v>
      </c>
      <c r="BR382">
        <v>10</v>
      </c>
      <c r="BS382">
        <v>344</v>
      </c>
      <c r="BT382">
        <v>194</v>
      </c>
      <c r="BU382" s="23">
        <v>0.22480000000000006</v>
      </c>
      <c r="BV382" t="s">
        <v>927</v>
      </c>
    </row>
    <row r="383" spans="1:74">
      <c r="A383">
        <v>378</v>
      </c>
      <c r="B383" s="1">
        <v>1</v>
      </c>
      <c r="C383">
        <v>1224</v>
      </c>
      <c r="D383" t="s">
        <v>928</v>
      </c>
      <c r="E383">
        <v>2016</v>
      </c>
      <c r="F383" t="s">
        <v>841</v>
      </c>
      <c r="G383" t="s">
        <v>160</v>
      </c>
      <c r="H383" s="52" t="s">
        <v>969</v>
      </c>
      <c r="I383">
        <v>40.700000000000003</v>
      </c>
      <c r="J383">
        <v>40.700000000000003</v>
      </c>
      <c r="K383">
        <v>40.700000000000003</v>
      </c>
      <c r="L383">
        <v>1800</v>
      </c>
      <c r="M383">
        <v>800</v>
      </c>
      <c r="N383">
        <v>0</v>
      </c>
      <c r="O383">
        <v>508.75000000000006</v>
      </c>
      <c r="P383">
        <v>200</v>
      </c>
      <c r="Q383">
        <v>270</v>
      </c>
      <c r="R383" t="s">
        <v>62</v>
      </c>
      <c r="S383" s="30" t="s">
        <v>243</v>
      </c>
      <c r="T383">
        <v>12.7</v>
      </c>
      <c r="U383">
        <v>127</v>
      </c>
      <c r="V383" s="1">
        <v>446.1</v>
      </c>
      <c r="W383" s="1">
        <v>194</v>
      </c>
      <c r="X383" t="s">
        <v>300</v>
      </c>
      <c r="Y383">
        <v>35</v>
      </c>
      <c r="Z383">
        <v>3</v>
      </c>
      <c r="AA383">
        <v>6.35</v>
      </c>
      <c r="AB383">
        <v>31.7</v>
      </c>
      <c r="AC383">
        <v>877.2</v>
      </c>
      <c r="AD383">
        <v>183</v>
      </c>
      <c r="AE383">
        <v>5</v>
      </c>
      <c r="AF383">
        <v>25</v>
      </c>
      <c r="AG383">
        <v>3</v>
      </c>
      <c r="AH383">
        <v>30</v>
      </c>
      <c r="AI383">
        <v>5</v>
      </c>
      <c r="AJ383">
        <v>25</v>
      </c>
      <c r="AK383">
        <v>0</v>
      </c>
      <c r="AL383">
        <v>0</v>
      </c>
      <c r="AN383">
        <v>250</v>
      </c>
      <c r="AO383">
        <v>250</v>
      </c>
      <c r="AP383" t="s">
        <v>153</v>
      </c>
      <c r="AQ383" s="30" t="s">
        <v>76</v>
      </c>
      <c r="AR383">
        <v>9.5299999999999994</v>
      </c>
      <c r="AS383">
        <v>71.3</v>
      </c>
      <c r="AT383">
        <v>385.6</v>
      </c>
      <c r="AU383">
        <v>181</v>
      </c>
      <c r="AV383" t="s">
        <v>300</v>
      </c>
      <c r="AW383">
        <v>30</v>
      </c>
      <c r="AX383">
        <v>4</v>
      </c>
      <c r="AY383">
        <v>6.35</v>
      </c>
      <c r="AZ383">
        <v>31.7</v>
      </c>
      <c r="BA383">
        <v>877.2</v>
      </c>
      <c r="BB383">
        <v>183</v>
      </c>
      <c r="BC383">
        <v>4</v>
      </c>
      <c r="BD383">
        <v>40</v>
      </c>
      <c r="BE383">
        <v>2</v>
      </c>
      <c r="BF383">
        <v>57</v>
      </c>
      <c r="BG383">
        <v>4</v>
      </c>
      <c r="BH383">
        <v>40</v>
      </c>
      <c r="BI383">
        <v>2</v>
      </c>
      <c r="BJ383">
        <v>57</v>
      </c>
      <c r="BM383" t="s">
        <v>166</v>
      </c>
      <c r="BN383" t="s">
        <v>300</v>
      </c>
      <c r="BP383" s="30">
        <v>31.7</v>
      </c>
      <c r="BQ383">
        <v>4</v>
      </c>
      <c r="BR383">
        <v>8</v>
      </c>
      <c r="BS383">
        <v>877.2</v>
      </c>
      <c r="BT383">
        <v>183</v>
      </c>
      <c r="BU383" s="23">
        <v>0.48594011976047902</v>
      </c>
      <c r="BV383" t="s">
        <v>929</v>
      </c>
    </row>
    <row r="384" spans="1:74">
      <c r="A384">
        <v>379</v>
      </c>
      <c r="B384" s="1">
        <v>5</v>
      </c>
      <c r="G384" t="s">
        <v>160</v>
      </c>
      <c r="H384" s="52" t="s">
        <v>970</v>
      </c>
      <c r="I384">
        <v>40.700000000000003</v>
      </c>
      <c r="J384">
        <v>40.700000000000003</v>
      </c>
      <c r="K384">
        <v>40.700000000000003</v>
      </c>
      <c r="L384">
        <v>1800</v>
      </c>
      <c r="M384">
        <v>800</v>
      </c>
      <c r="N384">
        <v>0</v>
      </c>
      <c r="O384">
        <v>508.75000000000006</v>
      </c>
      <c r="P384">
        <v>200</v>
      </c>
      <c r="Q384">
        <v>270</v>
      </c>
      <c r="R384" t="s">
        <v>62</v>
      </c>
      <c r="S384" s="30" t="s">
        <v>243</v>
      </c>
      <c r="T384">
        <v>12.7</v>
      </c>
      <c r="U384">
        <v>127</v>
      </c>
      <c r="V384" s="1">
        <v>446.1</v>
      </c>
      <c r="W384" s="1">
        <v>194</v>
      </c>
      <c r="X384" t="s">
        <v>300</v>
      </c>
      <c r="Y384">
        <v>35</v>
      </c>
      <c r="Z384">
        <v>3</v>
      </c>
      <c r="AA384">
        <v>6.35</v>
      </c>
      <c r="AB384">
        <v>31.7</v>
      </c>
      <c r="AC384">
        <v>877.2</v>
      </c>
      <c r="AD384">
        <v>183</v>
      </c>
      <c r="AE384">
        <v>5</v>
      </c>
      <c r="AF384">
        <v>25</v>
      </c>
      <c r="AG384">
        <v>3</v>
      </c>
      <c r="AH384">
        <v>30</v>
      </c>
      <c r="AI384">
        <v>5</v>
      </c>
      <c r="AJ384">
        <v>25</v>
      </c>
      <c r="AK384">
        <v>0</v>
      </c>
      <c r="AL384">
        <v>0</v>
      </c>
      <c r="AN384">
        <v>250</v>
      </c>
      <c r="AO384">
        <v>250</v>
      </c>
      <c r="AP384" t="s">
        <v>153</v>
      </c>
      <c r="AQ384" s="30" t="s">
        <v>76</v>
      </c>
      <c r="AR384">
        <v>9.5299999999999994</v>
      </c>
      <c r="AS384">
        <v>71.3</v>
      </c>
      <c r="AT384">
        <v>385.6</v>
      </c>
      <c r="AU384">
        <v>181</v>
      </c>
      <c r="AV384" t="s">
        <v>300</v>
      </c>
      <c r="AW384">
        <v>30</v>
      </c>
      <c r="AX384">
        <v>4</v>
      </c>
      <c r="AY384">
        <v>6.35</v>
      </c>
      <c r="AZ384">
        <v>31.7</v>
      </c>
      <c r="BA384">
        <v>877.2</v>
      </c>
      <c r="BB384">
        <v>183</v>
      </c>
      <c r="BC384">
        <v>4</v>
      </c>
      <c r="BD384">
        <v>40</v>
      </c>
      <c r="BE384">
        <v>2</v>
      </c>
      <c r="BF384">
        <v>57</v>
      </c>
      <c r="BG384">
        <v>4</v>
      </c>
      <c r="BH384">
        <v>40</v>
      </c>
      <c r="BI384">
        <v>2</v>
      </c>
      <c r="BJ384">
        <v>57</v>
      </c>
      <c r="BM384" t="s">
        <v>166</v>
      </c>
      <c r="BN384" t="s">
        <v>300</v>
      </c>
      <c r="BP384" s="30">
        <v>31.7</v>
      </c>
      <c r="BQ384">
        <v>4</v>
      </c>
      <c r="BR384">
        <v>8</v>
      </c>
      <c r="BS384">
        <v>877.2</v>
      </c>
      <c r="BT384">
        <v>183</v>
      </c>
      <c r="BU384" s="23">
        <v>0.48594011976047902</v>
      </c>
    </row>
    <row r="385" spans="1:73">
      <c r="A385">
        <v>380</v>
      </c>
      <c r="B385" s="1">
        <v>1</v>
      </c>
      <c r="C385">
        <v>1226</v>
      </c>
      <c r="D385" t="s">
        <v>930</v>
      </c>
      <c r="E385">
        <v>2017</v>
      </c>
      <c r="F385" t="s">
        <v>841</v>
      </c>
      <c r="G385" t="s">
        <v>84</v>
      </c>
      <c r="H385" s="52" t="s">
        <v>270</v>
      </c>
      <c r="I385">
        <v>23.7</v>
      </c>
      <c r="J385">
        <v>23.7</v>
      </c>
      <c r="K385">
        <v>23.7</v>
      </c>
      <c r="L385">
        <v>2140</v>
      </c>
      <c r="M385">
        <v>1020</v>
      </c>
      <c r="N385">
        <v>0</v>
      </c>
      <c r="O385">
        <v>0</v>
      </c>
      <c r="P385">
        <v>160</v>
      </c>
      <c r="Q385">
        <v>250</v>
      </c>
      <c r="R385" t="s">
        <v>62</v>
      </c>
      <c r="T385">
        <v>12.7</v>
      </c>
      <c r="U385">
        <v>127</v>
      </c>
      <c r="V385" s="1">
        <v>372</v>
      </c>
      <c r="W385" s="1">
        <v>171</v>
      </c>
      <c r="X385" t="s">
        <v>305</v>
      </c>
      <c r="Y385">
        <v>30</v>
      </c>
      <c r="Z385">
        <v>4</v>
      </c>
      <c r="AA385">
        <v>3.2</v>
      </c>
      <c r="AB385">
        <v>8.0424771931898711</v>
      </c>
      <c r="AC385">
        <v>266</v>
      </c>
      <c r="AD385">
        <v>206</v>
      </c>
      <c r="AE385">
        <v>4</v>
      </c>
      <c r="AF385">
        <v>25</v>
      </c>
      <c r="AG385">
        <v>0</v>
      </c>
      <c r="AH385">
        <v>0</v>
      </c>
      <c r="AI385">
        <v>4</v>
      </c>
      <c r="AJ385">
        <v>25</v>
      </c>
      <c r="AK385">
        <v>0</v>
      </c>
      <c r="AL385">
        <v>0</v>
      </c>
      <c r="AN385">
        <v>250</v>
      </c>
      <c r="AO385">
        <v>250</v>
      </c>
      <c r="AP385" t="s">
        <v>62</v>
      </c>
      <c r="AR385">
        <v>12.7</v>
      </c>
      <c r="AS385">
        <v>127</v>
      </c>
      <c r="AT385">
        <v>372</v>
      </c>
      <c r="AU385">
        <v>171</v>
      </c>
      <c r="AV385" t="s">
        <v>305</v>
      </c>
      <c r="AW385">
        <v>30</v>
      </c>
      <c r="AX385">
        <v>4</v>
      </c>
      <c r="AY385">
        <v>3.2</v>
      </c>
      <c r="AZ385">
        <v>8.0424771931898711</v>
      </c>
      <c r="BA385">
        <v>266</v>
      </c>
      <c r="BB385">
        <v>206</v>
      </c>
      <c r="BC385">
        <v>7</v>
      </c>
      <c r="BD385">
        <v>25</v>
      </c>
      <c r="BE385">
        <v>2</v>
      </c>
      <c r="BF385">
        <v>25</v>
      </c>
      <c r="BG385">
        <v>7</v>
      </c>
      <c r="BH385">
        <v>25</v>
      </c>
      <c r="BI385">
        <v>2</v>
      </c>
      <c r="BJ385">
        <v>25</v>
      </c>
      <c r="BK385" s="30">
        <v>25</v>
      </c>
      <c r="BL385" s="30">
        <v>4</v>
      </c>
      <c r="BM385" t="s">
        <v>444</v>
      </c>
      <c r="BN385" t="s">
        <v>305</v>
      </c>
      <c r="BP385" s="30">
        <v>8.0424771931898711</v>
      </c>
      <c r="BQ385">
        <v>7</v>
      </c>
      <c r="BR385">
        <v>28</v>
      </c>
      <c r="BS385">
        <v>266</v>
      </c>
      <c r="BT385">
        <v>206</v>
      </c>
      <c r="BU385" s="23">
        <v>0.45037872281863278</v>
      </c>
    </row>
  </sheetData>
  <mergeCells count="31">
    <mergeCell ref="BM1:BT1"/>
    <mergeCell ref="AN1:BL1"/>
    <mergeCell ref="BI3:BI4"/>
    <mergeCell ref="BJ3:BJ4"/>
    <mergeCell ref="BK3:BK4"/>
    <mergeCell ref="BL3:BL4"/>
    <mergeCell ref="BC2:BL2"/>
    <mergeCell ref="BM2:BT2"/>
    <mergeCell ref="AV2:BB2"/>
    <mergeCell ref="BC3:BC4"/>
    <mergeCell ref="BE3:BE4"/>
    <mergeCell ref="BF3:BF4"/>
    <mergeCell ref="BG3:BG4"/>
    <mergeCell ref="BH3:BH4"/>
    <mergeCell ref="AP2:AU2"/>
    <mergeCell ref="AL3:AL4"/>
    <mergeCell ref="AM3:AM4"/>
    <mergeCell ref="AE2:AM2"/>
    <mergeCell ref="AN2:AO2"/>
    <mergeCell ref="P1:AM1"/>
    <mergeCell ref="AE3:AE4"/>
    <mergeCell ref="AG3:AG4"/>
    <mergeCell ref="AH3:AH4"/>
    <mergeCell ref="AI3:AI4"/>
    <mergeCell ref="AJ3:AJ4"/>
    <mergeCell ref="AK3:AK4"/>
    <mergeCell ref="A3:A4"/>
    <mergeCell ref="H3:H4"/>
    <mergeCell ref="P2:Q2"/>
    <mergeCell ref="R2:W2"/>
    <mergeCell ref="X2:AD2"/>
  </mergeCells>
  <phoneticPr fontId="2"/>
  <pageMargins left="0.7" right="0.7" top="0.75" bottom="0.75" header="0.3" footer="0.3"/>
  <pageSetup paperSize="9"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7"/>
  <sheetViews>
    <sheetView workbookViewId="0">
      <selection activeCell="B8" sqref="B8"/>
    </sheetView>
  </sheetViews>
  <sheetFormatPr defaultRowHeight="18.75"/>
  <sheetData>
    <row r="1" spans="1:3">
      <c r="A1" s="59">
        <v>1</v>
      </c>
      <c r="B1" s="60">
        <f>COUNTIF(全情報!B6:B385, "1")</f>
        <v>266</v>
      </c>
      <c r="C1" s="61" t="s">
        <v>743</v>
      </c>
    </row>
    <row r="2" spans="1:3">
      <c r="A2" s="62">
        <v>2</v>
      </c>
      <c r="B2" s="63">
        <f>COUNTIF(全情報!B6:B385, "2")</f>
        <v>52</v>
      </c>
      <c r="C2" s="64" t="s">
        <v>737</v>
      </c>
    </row>
    <row r="3" spans="1:3">
      <c r="A3" s="62"/>
      <c r="B3" s="63">
        <f>COUNTIF(全情報!B6:B385, "")</f>
        <v>0</v>
      </c>
      <c r="C3" s="64" t="s">
        <v>738</v>
      </c>
    </row>
    <row r="4" spans="1:3">
      <c r="A4" s="62">
        <v>3</v>
      </c>
      <c r="B4" s="63">
        <f>COUNTIF(全情報!B6:B385, "3")</f>
        <v>33</v>
      </c>
      <c r="C4" s="64" t="s">
        <v>739</v>
      </c>
    </row>
    <row r="5" spans="1:3">
      <c r="A5" s="62">
        <v>4</v>
      </c>
      <c r="B5" s="63">
        <f>COUNTIF(全情報!B6:B385, "4")</f>
        <v>4</v>
      </c>
      <c r="C5" s="64" t="s">
        <v>740</v>
      </c>
    </row>
    <row r="6" spans="1:3">
      <c r="A6" s="62">
        <v>5</v>
      </c>
      <c r="B6" s="63">
        <f>COUNTIF(全情報!B7:B385, "5")</f>
        <v>25</v>
      </c>
      <c r="C6" s="64" t="s">
        <v>971</v>
      </c>
    </row>
    <row r="7" spans="1:3" ht="19.5" thickBot="1">
      <c r="A7" s="65"/>
      <c r="B7" s="66">
        <f>SUM(B1:B6)</f>
        <v>380</v>
      </c>
      <c r="C7" s="67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全情報</vt:lpstr>
      <vt:lpstr>必要項目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Yamazaki</dc:creator>
  <cp:lastModifiedBy>崇 竹内</cp:lastModifiedBy>
  <dcterms:created xsi:type="dcterms:W3CDTF">2018-05-29T10:08:13Z</dcterms:created>
  <dcterms:modified xsi:type="dcterms:W3CDTF">2024-03-08T09:18:19Z</dcterms:modified>
</cp:coreProperties>
</file>